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d1c979e9287f4c80" /></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2036" yWindow="60" windowWidth="12060" windowHeight="10008" tabRatio="810" activeTab="3"/>
  </bookViews>
  <sheets>
    <sheet name="TH" sheetId="44" r:id="rId1"/>
    <sheet name="1. CĐNS" sheetId="2" r:id="rId2"/>
    <sheet name="2. SDĐ" sheetId="3" r:id="rId3"/>
    <sheet name="3. XSKT" sheetId="11" r:id="rId4"/>
    <sheet name="4. ĐƯCTMTQG" sheetId="7" r:id="rId5"/>
    <sheet name="5. ĐPTTH" sheetId="1" r:id="rId6"/>
    <sheet name="6. XSKT CNT" sheetId="8" r:id="rId7"/>
    <sheet name="7. Boi chi" sheetId="16" r:id="rId8"/>
    <sheet name="8.VTXSKT" sheetId="20" r:id="rId9"/>
    <sheet name="9. KDXSKT2022" sheetId="42" r:id="rId10"/>
    <sheet name="10. VTXSKT2022" sheetId="27" r:id="rId11"/>
    <sheet name="11. Muon ĐPTTH" sheetId="29" r:id="rId12"/>
    <sheet name="12. NHNN" sheetId="36" r:id="rId13"/>
    <sheet name="13. VTPCP" sheetId="38" r:id="rId14"/>
    <sheet name="14. KDSDĐ" sheetId="40" r:id="rId15"/>
    <sheet name="15. DPNS 2024" sheetId="41" r:id="rId16"/>
    <sheet name="16. DA ĐB" sheetId="43" r:id="rId17"/>
    <sheet name="17. KCM chua giao" sheetId="45" r:id="rId18"/>
    <sheet name="14. DP TH" sheetId="34" state="hidden" r:id="rId19"/>
  </sheets>
  <definedNames>
    <definedName name="____a1" localSheetId="12" hidden="1">{"'Sheet1'!$L$16"}</definedName>
    <definedName name="____a1" localSheetId="13" hidden="1">{"'Sheet1'!$L$16"}</definedName>
    <definedName name="____a1" localSheetId="18" hidden="1">{"'Sheet1'!$L$16"}</definedName>
    <definedName name="____a1" localSheetId="14" hidden="1">{"'Sheet1'!$L$16"}</definedName>
    <definedName name="____a1" localSheetId="15" hidden="1">{"'Sheet1'!$L$16"}</definedName>
    <definedName name="____a1" localSheetId="16" hidden="1">{"'Sheet1'!$L$16"}</definedName>
    <definedName name="____a1" localSheetId="17" hidden="1">{"'Sheet1'!$L$16"}</definedName>
    <definedName name="____a1" localSheetId="0" hidden="1">{"'Sheet1'!$L$16"}</definedName>
    <definedName name="____a1" hidden="1">{"'Sheet1'!$L$16"}</definedName>
    <definedName name="____B1" localSheetId="12" hidden="1">{"'Sheet1'!$L$16"}</definedName>
    <definedName name="____B1" localSheetId="13" hidden="1">{"'Sheet1'!$L$16"}</definedName>
    <definedName name="____B1" localSheetId="18" hidden="1">{"'Sheet1'!$L$16"}</definedName>
    <definedName name="____B1" localSheetId="14" hidden="1">{"'Sheet1'!$L$16"}</definedName>
    <definedName name="____B1" localSheetId="15" hidden="1">{"'Sheet1'!$L$16"}</definedName>
    <definedName name="____B1" localSheetId="16" hidden="1">{"'Sheet1'!$L$16"}</definedName>
    <definedName name="____B1" localSheetId="17" hidden="1">{"'Sheet1'!$L$16"}</definedName>
    <definedName name="____B1" localSheetId="0" hidden="1">{"'Sheet1'!$L$16"}</definedName>
    <definedName name="____B1" hidden="1">{"'Sheet1'!$L$16"}</definedName>
    <definedName name="____ban2" localSheetId="12" hidden="1">{"'Sheet1'!$L$16"}</definedName>
    <definedName name="____ban2" localSheetId="13" hidden="1">{"'Sheet1'!$L$16"}</definedName>
    <definedName name="____ban2" localSheetId="18" hidden="1">{"'Sheet1'!$L$16"}</definedName>
    <definedName name="____ban2" localSheetId="14" hidden="1">{"'Sheet1'!$L$16"}</definedName>
    <definedName name="____ban2" localSheetId="15" hidden="1">{"'Sheet1'!$L$16"}</definedName>
    <definedName name="____ban2" localSheetId="16" hidden="1">{"'Sheet1'!$L$16"}</definedName>
    <definedName name="____ban2" localSheetId="17" hidden="1">{"'Sheet1'!$L$16"}</definedName>
    <definedName name="____ban2" localSheetId="0" hidden="1">{"'Sheet1'!$L$16"}</definedName>
    <definedName name="____ban2" hidden="1">{"'Sheet1'!$L$16"}</definedName>
    <definedName name="____h1" localSheetId="12" hidden="1">{"'Sheet1'!$L$16"}</definedName>
    <definedName name="____h1" localSheetId="13" hidden="1">{"'Sheet1'!$L$16"}</definedName>
    <definedName name="____h1" localSheetId="18" hidden="1">{"'Sheet1'!$L$16"}</definedName>
    <definedName name="____h1" localSheetId="14" hidden="1">{"'Sheet1'!$L$16"}</definedName>
    <definedName name="____h1" localSheetId="15" hidden="1">{"'Sheet1'!$L$16"}</definedName>
    <definedName name="____h1" localSheetId="16" hidden="1">{"'Sheet1'!$L$16"}</definedName>
    <definedName name="____h1" localSheetId="17" hidden="1">{"'Sheet1'!$L$16"}</definedName>
    <definedName name="____h1" localSheetId="0" hidden="1">{"'Sheet1'!$L$16"}</definedName>
    <definedName name="____h1" hidden="1">{"'Sheet1'!$L$16"}</definedName>
    <definedName name="____hu1" localSheetId="12" hidden="1">{"'Sheet1'!$L$16"}</definedName>
    <definedName name="____hu1" localSheetId="13" hidden="1">{"'Sheet1'!$L$16"}</definedName>
    <definedName name="____hu1" localSheetId="18" hidden="1">{"'Sheet1'!$L$16"}</definedName>
    <definedName name="____hu1" localSheetId="14" hidden="1">{"'Sheet1'!$L$16"}</definedName>
    <definedName name="____hu1" localSheetId="15" hidden="1">{"'Sheet1'!$L$16"}</definedName>
    <definedName name="____hu1" localSheetId="16" hidden="1">{"'Sheet1'!$L$16"}</definedName>
    <definedName name="____hu1" localSheetId="17" hidden="1">{"'Sheet1'!$L$16"}</definedName>
    <definedName name="____hu1" localSheetId="0" hidden="1">{"'Sheet1'!$L$16"}</definedName>
    <definedName name="____hu1" hidden="1">{"'Sheet1'!$L$16"}</definedName>
    <definedName name="____hu2" localSheetId="12" hidden="1">{"'Sheet1'!$L$16"}</definedName>
    <definedName name="____hu2" localSheetId="13" hidden="1">{"'Sheet1'!$L$16"}</definedName>
    <definedName name="____hu2" localSheetId="18" hidden="1">{"'Sheet1'!$L$16"}</definedName>
    <definedName name="____hu2" localSheetId="14" hidden="1">{"'Sheet1'!$L$16"}</definedName>
    <definedName name="____hu2" localSheetId="15" hidden="1">{"'Sheet1'!$L$16"}</definedName>
    <definedName name="____hu2" localSheetId="16" hidden="1">{"'Sheet1'!$L$16"}</definedName>
    <definedName name="____hu2" localSheetId="17" hidden="1">{"'Sheet1'!$L$16"}</definedName>
    <definedName name="____hu2" localSheetId="0" hidden="1">{"'Sheet1'!$L$16"}</definedName>
    <definedName name="____hu2" hidden="1">{"'Sheet1'!$L$16"}</definedName>
    <definedName name="____hu5" localSheetId="12" hidden="1">{"'Sheet1'!$L$16"}</definedName>
    <definedName name="____hu5" localSheetId="13" hidden="1">{"'Sheet1'!$L$16"}</definedName>
    <definedName name="____hu5" localSheetId="18" hidden="1">{"'Sheet1'!$L$16"}</definedName>
    <definedName name="____hu5" localSheetId="14" hidden="1">{"'Sheet1'!$L$16"}</definedName>
    <definedName name="____hu5" localSheetId="15" hidden="1">{"'Sheet1'!$L$16"}</definedName>
    <definedName name="____hu5" localSheetId="16" hidden="1">{"'Sheet1'!$L$16"}</definedName>
    <definedName name="____hu5" localSheetId="17" hidden="1">{"'Sheet1'!$L$16"}</definedName>
    <definedName name="____hu5" localSheetId="0" hidden="1">{"'Sheet1'!$L$16"}</definedName>
    <definedName name="____hu5" hidden="1">{"'Sheet1'!$L$16"}</definedName>
    <definedName name="____hu6" localSheetId="12" hidden="1">{"'Sheet1'!$L$16"}</definedName>
    <definedName name="____hu6" localSheetId="13" hidden="1">{"'Sheet1'!$L$16"}</definedName>
    <definedName name="____hu6" localSheetId="18" hidden="1">{"'Sheet1'!$L$16"}</definedName>
    <definedName name="____hu6" localSheetId="14" hidden="1">{"'Sheet1'!$L$16"}</definedName>
    <definedName name="____hu6" localSheetId="15" hidden="1">{"'Sheet1'!$L$16"}</definedName>
    <definedName name="____hu6" localSheetId="16" hidden="1">{"'Sheet1'!$L$16"}</definedName>
    <definedName name="____hu6" localSheetId="17" hidden="1">{"'Sheet1'!$L$16"}</definedName>
    <definedName name="____hu6" localSheetId="0" hidden="1">{"'Sheet1'!$L$16"}</definedName>
    <definedName name="____hu6" hidden="1">{"'Sheet1'!$L$16"}</definedName>
    <definedName name="____M36" localSheetId="12" hidden="1">{"'Sheet1'!$L$16"}</definedName>
    <definedName name="____M36" localSheetId="13" hidden="1">{"'Sheet1'!$L$16"}</definedName>
    <definedName name="____M36" localSheetId="18" hidden="1">{"'Sheet1'!$L$16"}</definedName>
    <definedName name="____M36" localSheetId="14" hidden="1">{"'Sheet1'!$L$16"}</definedName>
    <definedName name="____M36" localSheetId="15" hidden="1">{"'Sheet1'!$L$16"}</definedName>
    <definedName name="____M36" localSheetId="16" hidden="1">{"'Sheet1'!$L$16"}</definedName>
    <definedName name="____M36" localSheetId="17" hidden="1">{"'Sheet1'!$L$16"}</definedName>
    <definedName name="____M36" localSheetId="0" hidden="1">{"'Sheet1'!$L$16"}</definedName>
    <definedName name="____M36" hidden="1">{"'Sheet1'!$L$16"}</definedName>
    <definedName name="____NSO2" localSheetId="12" hidden="1">{"'Sheet1'!$L$16"}</definedName>
    <definedName name="____NSO2" localSheetId="13" hidden="1">{"'Sheet1'!$L$16"}</definedName>
    <definedName name="____NSO2" localSheetId="18" hidden="1">{"'Sheet1'!$L$16"}</definedName>
    <definedName name="____NSO2" localSheetId="14" hidden="1">{"'Sheet1'!$L$16"}</definedName>
    <definedName name="____NSO2" localSheetId="15" hidden="1">{"'Sheet1'!$L$16"}</definedName>
    <definedName name="____NSO2" localSheetId="16" hidden="1">{"'Sheet1'!$L$16"}</definedName>
    <definedName name="____NSO2" localSheetId="17" hidden="1">{"'Sheet1'!$L$16"}</definedName>
    <definedName name="____NSO2" localSheetId="0" hidden="1">{"'Sheet1'!$L$16"}</definedName>
    <definedName name="____NSO2" hidden="1">{"'Sheet1'!$L$16"}</definedName>
    <definedName name="____PA3" localSheetId="12" hidden="1">{"'Sheet1'!$L$16"}</definedName>
    <definedName name="____PA3" localSheetId="13" hidden="1">{"'Sheet1'!$L$16"}</definedName>
    <definedName name="____PA3" localSheetId="18" hidden="1">{"'Sheet1'!$L$16"}</definedName>
    <definedName name="____PA3" localSheetId="14" hidden="1">{"'Sheet1'!$L$16"}</definedName>
    <definedName name="____PA3" localSheetId="15" hidden="1">{"'Sheet1'!$L$16"}</definedName>
    <definedName name="____PA3" localSheetId="16" hidden="1">{"'Sheet1'!$L$16"}</definedName>
    <definedName name="____PA3" localSheetId="17" hidden="1">{"'Sheet1'!$L$16"}</definedName>
    <definedName name="____PA3" localSheetId="0" hidden="1">{"'Sheet1'!$L$16"}</definedName>
    <definedName name="____PA3" hidden="1">{"'Sheet1'!$L$16"}</definedName>
    <definedName name="____Pl2" localSheetId="12" hidden="1">{"'Sheet1'!$L$16"}</definedName>
    <definedName name="____Pl2" localSheetId="13" hidden="1">{"'Sheet1'!$L$16"}</definedName>
    <definedName name="____Pl2" localSheetId="18" hidden="1">{"'Sheet1'!$L$16"}</definedName>
    <definedName name="____Pl2" localSheetId="14" hidden="1">{"'Sheet1'!$L$16"}</definedName>
    <definedName name="____Pl2" localSheetId="15" hidden="1">{"'Sheet1'!$L$16"}</definedName>
    <definedName name="____Pl2" localSheetId="16" hidden="1">{"'Sheet1'!$L$16"}</definedName>
    <definedName name="____Pl2" localSheetId="17" hidden="1">{"'Sheet1'!$L$16"}</definedName>
    <definedName name="____Pl2" localSheetId="0" hidden="1">{"'Sheet1'!$L$16"}</definedName>
    <definedName name="____Pl2" hidden="1">{"'Sheet1'!$L$16"}</definedName>
    <definedName name="____Tru21" localSheetId="12" hidden="1">{"'Sheet1'!$L$16"}</definedName>
    <definedName name="____Tru21" localSheetId="13" hidden="1">{"'Sheet1'!$L$16"}</definedName>
    <definedName name="____Tru21" localSheetId="18" hidden="1">{"'Sheet1'!$L$16"}</definedName>
    <definedName name="____Tru21" localSheetId="14" hidden="1">{"'Sheet1'!$L$16"}</definedName>
    <definedName name="____Tru21" localSheetId="15" hidden="1">{"'Sheet1'!$L$16"}</definedName>
    <definedName name="____Tru21" localSheetId="16" hidden="1">{"'Sheet1'!$L$16"}</definedName>
    <definedName name="____Tru21" localSheetId="17" hidden="1">{"'Sheet1'!$L$16"}</definedName>
    <definedName name="____Tru21" localSheetId="0" hidden="1">{"'Sheet1'!$L$16"}</definedName>
    <definedName name="____Tru21" hidden="1">{"'Sheet1'!$L$16"}</definedName>
    <definedName name="___a1" localSheetId="12" hidden="1">{"'Sheet1'!$L$16"}</definedName>
    <definedName name="___a1" localSheetId="13" hidden="1">{"'Sheet1'!$L$16"}</definedName>
    <definedName name="___a1" localSheetId="18" hidden="1">{"'Sheet1'!$L$16"}</definedName>
    <definedName name="___a1" localSheetId="14" hidden="1">{"'Sheet1'!$L$16"}</definedName>
    <definedName name="___a1" localSheetId="15" hidden="1">{"'Sheet1'!$L$16"}</definedName>
    <definedName name="___a1" localSheetId="16" hidden="1">{"'Sheet1'!$L$16"}</definedName>
    <definedName name="___a1" localSheetId="17" hidden="1">{"'Sheet1'!$L$16"}</definedName>
    <definedName name="___a1" localSheetId="0" hidden="1">{"'Sheet1'!$L$16"}</definedName>
    <definedName name="___a1" hidden="1">{"'Sheet1'!$L$16"}</definedName>
    <definedName name="___B1" localSheetId="12" hidden="1">{"'Sheet1'!$L$16"}</definedName>
    <definedName name="___B1" localSheetId="13" hidden="1">{"'Sheet1'!$L$16"}</definedName>
    <definedName name="___B1" localSheetId="18" hidden="1">{"'Sheet1'!$L$16"}</definedName>
    <definedName name="___B1" localSheetId="14" hidden="1">{"'Sheet1'!$L$16"}</definedName>
    <definedName name="___B1" localSheetId="15" hidden="1">{"'Sheet1'!$L$16"}</definedName>
    <definedName name="___B1" localSheetId="16" hidden="1">{"'Sheet1'!$L$16"}</definedName>
    <definedName name="___B1" localSheetId="17" hidden="1">{"'Sheet1'!$L$16"}</definedName>
    <definedName name="___B1" localSheetId="0" hidden="1">{"'Sheet1'!$L$16"}</definedName>
    <definedName name="___B1" hidden="1">{"'Sheet1'!$L$16"}</definedName>
    <definedName name="___ban2" localSheetId="12" hidden="1">{"'Sheet1'!$L$16"}</definedName>
    <definedName name="___ban2" localSheetId="13" hidden="1">{"'Sheet1'!$L$16"}</definedName>
    <definedName name="___ban2" localSheetId="18" hidden="1">{"'Sheet1'!$L$16"}</definedName>
    <definedName name="___ban2" localSheetId="14" hidden="1">{"'Sheet1'!$L$16"}</definedName>
    <definedName name="___ban2" localSheetId="15" hidden="1">{"'Sheet1'!$L$16"}</definedName>
    <definedName name="___ban2" localSheetId="16" hidden="1">{"'Sheet1'!$L$16"}</definedName>
    <definedName name="___ban2" localSheetId="17" hidden="1">{"'Sheet1'!$L$16"}</definedName>
    <definedName name="___ban2" localSheetId="0" hidden="1">{"'Sheet1'!$L$16"}</definedName>
    <definedName name="___ban2" hidden="1">{"'Sheet1'!$L$16"}</definedName>
    <definedName name="___h1" localSheetId="12" hidden="1">{"'Sheet1'!$L$16"}</definedName>
    <definedName name="___h1" localSheetId="13" hidden="1">{"'Sheet1'!$L$16"}</definedName>
    <definedName name="___h1" localSheetId="18" hidden="1">{"'Sheet1'!$L$16"}</definedName>
    <definedName name="___h1" localSheetId="14" hidden="1">{"'Sheet1'!$L$16"}</definedName>
    <definedName name="___h1" localSheetId="15" hidden="1">{"'Sheet1'!$L$16"}</definedName>
    <definedName name="___h1" localSheetId="16" hidden="1">{"'Sheet1'!$L$16"}</definedName>
    <definedName name="___h1" localSheetId="17" hidden="1">{"'Sheet1'!$L$16"}</definedName>
    <definedName name="___h1" localSheetId="0" hidden="1">{"'Sheet1'!$L$16"}</definedName>
    <definedName name="___h1" hidden="1">{"'Sheet1'!$L$16"}</definedName>
    <definedName name="___hsm2">1.1289</definedName>
    <definedName name="___hu1" localSheetId="12" hidden="1">{"'Sheet1'!$L$16"}</definedName>
    <definedName name="___hu1" localSheetId="13" hidden="1">{"'Sheet1'!$L$16"}</definedName>
    <definedName name="___hu1" localSheetId="18" hidden="1">{"'Sheet1'!$L$16"}</definedName>
    <definedName name="___hu1" localSheetId="14" hidden="1">{"'Sheet1'!$L$16"}</definedName>
    <definedName name="___hu1" localSheetId="15" hidden="1">{"'Sheet1'!$L$16"}</definedName>
    <definedName name="___hu1" localSheetId="16" hidden="1">{"'Sheet1'!$L$16"}</definedName>
    <definedName name="___hu1" localSheetId="17" hidden="1">{"'Sheet1'!$L$16"}</definedName>
    <definedName name="___hu1" localSheetId="0" hidden="1">{"'Sheet1'!$L$16"}</definedName>
    <definedName name="___hu1" hidden="1">{"'Sheet1'!$L$16"}</definedName>
    <definedName name="___hu2" localSheetId="12" hidden="1">{"'Sheet1'!$L$16"}</definedName>
    <definedName name="___hu2" localSheetId="13" hidden="1">{"'Sheet1'!$L$16"}</definedName>
    <definedName name="___hu2" localSheetId="18" hidden="1">{"'Sheet1'!$L$16"}</definedName>
    <definedName name="___hu2" localSheetId="14" hidden="1">{"'Sheet1'!$L$16"}</definedName>
    <definedName name="___hu2" localSheetId="15" hidden="1">{"'Sheet1'!$L$16"}</definedName>
    <definedName name="___hu2" localSheetId="16" hidden="1">{"'Sheet1'!$L$16"}</definedName>
    <definedName name="___hu2" localSheetId="17" hidden="1">{"'Sheet1'!$L$16"}</definedName>
    <definedName name="___hu2" localSheetId="0" hidden="1">{"'Sheet1'!$L$16"}</definedName>
    <definedName name="___hu2" hidden="1">{"'Sheet1'!$L$16"}</definedName>
    <definedName name="___hu5" localSheetId="12" hidden="1">{"'Sheet1'!$L$16"}</definedName>
    <definedName name="___hu5" localSheetId="13" hidden="1">{"'Sheet1'!$L$16"}</definedName>
    <definedName name="___hu5" localSheetId="18" hidden="1">{"'Sheet1'!$L$16"}</definedName>
    <definedName name="___hu5" localSheetId="14" hidden="1">{"'Sheet1'!$L$16"}</definedName>
    <definedName name="___hu5" localSheetId="15" hidden="1">{"'Sheet1'!$L$16"}</definedName>
    <definedName name="___hu5" localSheetId="16" hidden="1">{"'Sheet1'!$L$16"}</definedName>
    <definedName name="___hu5" localSheetId="17" hidden="1">{"'Sheet1'!$L$16"}</definedName>
    <definedName name="___hu5" localSheetId="0" hidden="1">{"'Sheet1'!$L$16"}</definedName>
    <definedName name="___hu5" hidden="1">{"'Sheet1'!$L$16"}</definedName>
    <definedName name="___hu6" localSheetId="12" hidden="1">{"'Sheet1'!$L$16"}</definedName>
    <definedName name="___hu6" localSheetId="13" hidden="1">{"'Sheet1'!$L$16"}</definedName>
    <definedName name="___hu6" localSheetId="18" hidden="1">{"'Sheet1'!$L$16"}</definedName>
    <definedName name="___hu6" localSheetId="14" hidden="1">{"'Sheet1'!$L$16"}</definedName>
    <definedName name="___hu6" localSheetId="15" hidden="1">{"'Sheet1'!$L$16"}</definedName>
    <definedName name="___hu6" localSheetId="16" hidden="1">{"'Sheet1'!$L$16"}</definedName>
    <definedName name="___hu6" localSheetId="17" hidden="1">{"'Sheet1'!$L$16"}</definedName>
    <definedName name="___hu6" localSheetId="0" hidden="1">{"'Sheet1'!$L$16"}</definedName>
    <definedName name="___hu6" hidden="1">{"'Sheet1'!$L$16"}</definedName>
    <definedName name="___isc1">0.035</definedName>
    <definedName name="___isc2">0.02</definedName>
    <definedName name="___isc3">0.054</definedName>
    <definedName name="___M36" localSheetId="12" hidden="1">{"'Sheet1'!$L$16"}</definedName>
    <definedName name="___M36" localSheetId="13" hidden="1">{"'Sheet1'!$L$16"}</definedName>
    <definedName name="___M36" localSheetId="18" hidden="1">{"'Sheet1'!$L$16"}</definedName>
    <definedName name="___M36" localSheetId="14" hidden="1">{"'Sheet1'!$L$16"}</definedName>
    <definedName name="___M36" localSheetId="15" hidden="1">{"'Sheet1'!$L$16"}</definedName>
    <definedName name="___M36" localSheetId="16" hidden="1">{"'Sheet1'!$L$16"}</definedName>
    <definedName name="___M36" localSheetId="17" hidden="1">{"'Sheet1'!$L$16"}</definedName>
    <definedName name="___M36" localSheetId="0" hidden="1">{"'Sheet1'!$L$16"}</definedName>
    <definedName name="___M36" hidden="1">{"'Sheet1'!$L$16"}</definedName>
    <definedName name="___NSO2" localSheetId="12" hidden="1">{"'Sheet1'!$L$16"}</definedName>
    <definedName name="___NSO2" localSheetId="13" hidden="1">{"'Sheet1'!$L$16"}</definedName>
    <definedName name="___NSO2" localSheetId="18" hidden="1">{"'Sheet1'!$L$16"}</definedName>
    <definedName name="___NSO2" localSheetId="14" hidden="1">{"'Sheet1'!$L$16"}</definedName>
    <definedName name="___NSO2" localSheetId="15" hidden="1">{"'Sheet1'!$L$16"}</definedName>
    <definedName name="___NSO2" localSheetId="16" hidden="1">{"'Sheet1'!$L$16"}</definedName>
    <definedName name="___NSO2" localSheetId="17" hidden="1">{"'Sheet1'!$L$16"}</definedName>
    <definedName name="___NSO2" localSheetId="0" hidden="1">{"'Sheet1'!$L$16"}</definedName>
    <definedName name="___NSO2" hidden="1">{"'Sheet1'!$L$16"}</definedName>
    <definedName name="___PA3" localSheetId="12" hidden="1">{"'Sheet1'!$L$16"}</definedName>
    <definedName name="___PA3" localSheetId="13" hidden="1">{"'Sheet1'!$L$16"}</definedName>
    <definedName name="___PA3" localSheetId="18" hidden="1">{"'Sheet1'!$L$16"}</definedName>
    <definedName name="___PA3" localSheetId="14" hidden="1">{"'Sheet1'!$L$16"}</definedName>
    <definedName name="___PA3" localSheetId="15" hidden="1">{"'Sheet1'!$L$16"}</definedName>
    <definedName name="___PA3" localSheetId="16" hidden="1">{"'Sheet1'!$L$16"}</definedName>
    <definedName name="___PA3" localSheetId="17" hidden="1">{"'Sheet1'!$L$16"}</definedName>
    <definedName name="___PA3" localSheetId="0" hidden="1">{"'Sheet1'!$L$16"}</definedName>
    <definedName name="___PA3" hidden="1">{"'Sheet1'!$L$16"}</definedName>
    <definedName name="___Pl2" localSheetId="12" hidden="1">{"'Sheet1'!$L$16"}</definedName>
    <definedName name="___Pl2" localSheetId="13" hidden="1">{"'Sheet1'!$L$16"}</definedName>
    <definedName name="___Pl2" localSheetId="18" hidden="1">{"'Sheet1'!$L$16"}</definedName>
    <definedName name="___Pl2" localSheetId="14" hidden="1">{"'Sheet1'!$L$16"}</definedName>
    <definedName name="___Pl2" localSheetId="15" hidden="1">{"'Sheet1'!$L$16"}</definedName>
    <definedName name="___Pl2" localSheetId="16" hidden="1">{"'Sheet1'!$L$16"}</definedName>
    <definedName name="___Pl2" localSheetId="17" hidden="1">{"'Sheet1'!$L$16"}</definedName>
    <definedName name="___Pl2" localSheetId="0" hidden="1">{"'Sheet1'!$L$16"}</definedName>
    <definedName name="___Pl2" hidden="1">{"'Sheet1'!$L$16"}</definedName>
    <definedName name="___PL3" localSheetId="13" hidden="1">#REF!</definedName>
    <definedName name="___PL3" localSheetId="15" hidden="1">#REF!</definedName>
    <definedName name="___PL3" localSheetId="17" hidden="1">#REF!</definedName>
    <definedName name="___PL3" localSheetId="9" hidden="1">#REF!</definedName>
    <definedName name="___PL3" hidden="1">#REF!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ru21" localSheetId="12" hidden="1">{"'Sheet1'!$L$16"}</definedName>
    <definedName name="___Tru21" localSheetId="13" hidden="1">{"'Sheet1'!$L$16"}</definedName>
    <definedName name="___Tru21" localSheetId="18" hidden="1">{"'Sheet1'!$L$16"}</definedName>
    <definedName name="___Tru21" localSheetId="14" hidden="1">{"'Sheet1'!$L$16"}</definedName>
    <definedName name="___Tru21" localSheetId="15" hidden="1">{"'Sheet1'!$L$16"}</definedName>
    <definedName name="___Tru21" localSheetId="16" hidden="1">{"'Sheet1'!$L$16"}</definedName>
    <definedName name="___Tru21" localSheetId="17" hidden="1">{"'Sheet1'!$L$16"}</definedName>
    <definedName name="___Tru21" localSheetId="0" hidden="1">{"'Sheet1'!$L$16"}</definedName>
    <definedName name="___Tru21" hidden="1">{"'Sheet1'!$L$16"}</definedName>
    <definedName name="__a1" localSheetId="12" hidden="1">{"'Sheet1'!$L$16"}</definedName>
    <definedName name="__a1" localSheetId="13" hidden="1">{"'Sheet1'!$L$16"}</definedName>
    <definedName name="__a1" localSheetId="18" hidden="1">{"'Sheet1'!$L$16"}</definedName>
    <definedName name="__a1" localSheetId="14" hidden="1">{"'Sheet1'!$L$16"}</definedName>
    <definedName name="__a1" localSheetId="15" hidden="1">{"'Sheet1'!$L$16"}</definedName>
    <definedName name="__a1" localSheetId="16" hidden="1">{"'Sheet1'!$L$16"}</definedName>
    <definedName name="__a1" localSheetId="17" hidden="1">{"'Sheet1'!$L$16"}</definedName>
    <definedName name="__a1" localSheetId="0" hidden="1">{"'Sheet1'!$L$16"}</definedName>
    <definedName name="__a1" hidden="1">{"'Sheet1'!$L$16"}</definedName>
    <definedName name="__B1" localSheetId="12" hidden="1">{"'Sheet1'!$L$16"}</definedName>
    <definedName name="__B1" localSheetId="13" hidden="1">{"'Sheet1'!$L$16"}</definedName>
    <definedName name="__B1" localSheetId="18" hidden="1">{"'Sheet1'!$L$16"}</definedName>
    <definedName name="__B1" localSheetId="14" hidden="1">{"'Sheet1'!$L$16"}</definedName>
    <definedName name="__B1" localSheetId="15" hidden="1">{"'Sheet1'!$L$16"}</definedName>
    <definedName name="__B1" localSheetId="16" hidden="1">{"'Sheet1'!$L$16"}</definedName>
    <definedName name="__B1" localSheetId="17" hidden="1">{"'Sheet1'!$L$16"}</definedName>
    <definedName name="__B1" localSheetId="0" hidden="1">{"'Sheet1'!$L$16"}</definedName>
    <definedName name="__B1" hidden="1">{"'Sheet1'!$L$16"}</definedName>
    <definedName name="__ban2" localSheetId="12" hidden="1">{"'Sheet1'!$L$16"}</definedName>
    <definedName name="__ban2" localSheetId="13" hidden="1">{"'Sheet1'!$L$16"}</definedName>
    <definedName name="__ban2" localSheetId="18" hidden="1">{"'Sheet1'!$L$16"}</definedName>
    <definedName name="__ban2" localSheetId="14" hidden="1">{"'Sheet1'!$L$16"}</definedName>
    <definedName name="__ban2" localSheetId="15" hidden="1">{"'Sheet1'!$L$16"}</definedName>
    <definedName name="__ban2" localSheetId="16" hidden="1">{"'Sheet1'!$L$16"}</definedName>
    <definedName name="__ban2" localSheetId="17" hidden="1">{"'Sheet1'!$L$16"}</definedName>
    <definedName name="__ban2" localSheetId="0" hidden="1">{"'Sheet1'!$L$16"}</definedName>
    <definedName name="__ban2" hidden="1">{"'Sheet1'!$L$16"}</definedName>
    <definedName name="__h1" localSheetId="12" hidden="1">{"'Sheet1'!$L$16"}</definedName>
    <definedName name="__h1" localSheetId="13" hidden="1">{"'Sheet1'!$L$16"}</definedName>
    <definedName name="__h1" localSheetId="18" hidden="1">{"'Sheet1'!$L$16"}</definedName>
    <definedName name="__h1" localSheetId="14" hidden="1">{"'Sheet1'!$L$16"}</definedName>
    <definedName name="__h1" localSheetId="15" hidden="1">{"'Sheet1'!$L$16"}</definedName>
    <definedName name="__h1" localSheetId="16" hidden="1">{"'Sheet1'!$L$16"}</definedName>
    <definedName name="__h1" localSheetId="17" hidden="1">{"'Sheet1'!$L$16"}</definedName>
    <definedName name="__h1" localSheetId="0" hidden="1">{"'Sheet1'!$L$16"}</definedName>
    <definedName name="__h1" hidden="1">{"'Sheet1'!$L$16"}</definedName>
    <definedName name="__hsm2">1.1289</definedName>
    <definedName name="__hu1" localSheetId="12" hidden="1">{"'Sheet1'!$L$16"}</definedName>
    <definedName name="__hu1" localSheetId="13" hidden="1">{"'Sheet1'!$L$16"}</definedName>
    <definedName name="__hu1" localSheetId="18" hidden="1">{"'Sheet1'!$L$16"}</definedName>
    <definedName name="__hu1" localSheetId="14" hidden="1">{"'Sheet1'!$L$16"}</definedName>
    <definedName name="__hu1" localSheetId="15" hidden="1">{"'Sheet1'!$L$16"}</definedName>
    <definedName name="__hu1" localSheetId="16" hidden="1">{"'Sheet1'!$L$16"}</definedName>
    <definedName name="__hu1" localSheetId="17" hidden="1">{"'Sheet1'!$L$16"}</definedName>
    <definedName name="__hu1" localSheetId="0" hidden="1">{"'Sheet1'!$L$16"}</definedName>
    <definedName name="__hu1" hidden="1">{"'Sheet1'!$L$16"}</definedName>
    <definedName name="__hu2" localSheetId="12" hidden="1">{"'Sheet1'!$L$16"}</definedName>
    <definedName name="__hu2" localSheetId="13" hidden="1">{"'Sheet1'!$L$16"}</definedName>
    <definedName name="__hu2" localSheetId="18" hidden="1">{"'Sheet1'!$L$16"}</definedName>
    <definedName name="__hu2" localSheetId="14" hidden="1">{"'Sheet1'!$L$16"}</definedName>
    <definedName name="__hu2" localSheetId="15" hidden="1">{"'Sheet1'!$L$16"}</definedName>
    <definedName name="__hu2" localSheetId="16" hidden="1">{"'Sheet1'!$L$16"}</definedName>
    <definedName name="__hu2" localSheetId="17" hidden="1">{"'Sheet1'!$L$16"}</definedName>
    <definedName name="__hu2" localSheetId="0" hidden="1">{"'Sheet1'!$L$16"}</definedName>
    <definedName name="__hu2" hidden="1">{"'Sheet1'!$L$16"}</definedName>
    <definedName name="__hu5" localSheetId="12" hidden="1">{"'Sheet1'!$L$16"}</definedName>
    <definedName name="__hu5" localSheetId="13" hidden="1">{"'Sheet1'!$L$16"}</definedName>
    <definedName name="__hu5" localSheetId="18" hidden="1">{"'Sheet1'!$L$16"}</definedName>
    <definedName name="__hu5" localSheetId="14" hidden="1">{"'Sheet1'!$L$16"}</definedName>
    <definedName name="__hu5" localSheetId="15" hidden="1">{"'Sheet1'!$L$16"}</definedName>
    <definedName name="__hu5" localSheetId="16" hidden="1">{"'Sheet1'!$L$16"}</definedName>
    <definedName name="__hu5" localSheetId="17" hidden="1">{"'Sheet1'!$L$16"}</definedName>
    <definedName name="__hu5" localSheetId="0" hidden="1">{"'Sheet1'!$L$16"}</definedName>
    <definedName name="__hu5" hidden="1">{"'Sheet1'!$L$16"}</definedName>
    <definedName name="__hu6" localSheetId="12" hidden="1">{"'Sheet1'!$L$16"}</definedName>
    <definedName name="__hu6" localSheetId="13" hidden="1">{"'Sheet1'!$L$16"}</definedName>
    <definedName name="__hu6" localSheetId="18" hidden="1">{"'Sheet1'!$L$16"}</definedName>
    <definedName name="__hu6" localSheetId="14" hidden="1">{"'Sheet1'!$L$16"}</definedName>
    <definedName name="__hu6" localSheetId="15" hidden="1">{"'Sheet1'!$L$16"}</definedName>
    <definedName name="__hu6" localSheetId="16" hidden="1">{"'Sheet1'!$L$16"}</definedName>
    <definedName name="__hu6" localSheetId="17" hidden="1">{"'Sheet1'!$L$16"}</definedName>
    <definedName name="__hu6" localSheetId="0" hidden="1">{"'Sheet1'!$L$16"}</definedName>
    <definedName name="__hu6" hidden="1">{"'Sheet1'!$L$16"}</definedName>
    <definedName name="__isc1">0.035</definedName>
    <definedName name="__isc2">0.02</definedName>
    <definedName name="__isc3">0.054</definedName>
    <definedName name="__M36" localSheetId="12" hidden="1">{"'Sheet1'!$L$16"}</definedName>
    <definedName name="__M36" localSheetId="13" hidden="1">{"'Sheet1'!$L$16"}</definedName>
    <definedName name="__M36" localSheetId="18" hidden="1">{"'Sheet1'!$L$16"}</definedName>
    <definedName name="__M36" localSheetId="14" hidden="1">{"'Sheet1'!$L$16"}</definedName>
    <definedName name="__M36" localSheetId="15" hidden="1">{"'Sheet1'!$L$16"}</definedName>
    <definedName name="__M36" localSheetId="16" hidden="1">{"'Sheet1'!$L$16"}</definedName>
    <definedName name="__M36" localSheetId="17" hidden="1">{"'Sheet1'!$L$16"}</definedName>
    <definedName name="__M36" localSheetId="0" hidden="1">{"'Sheet1'!$L$16"}</definedName>
    <definedName name="__M36" hidden="1">{"'Sheet1'!$L$16"}</definedName>
    <definedName name="__NSO2" localSheetId="12" hidden="1">{"'Sheet1'!$L$16"}</definedName>
    <definedName name="__NSO2" localSheetId="13" hidden="1">{"'Sheet1'!$L$16"}</definedName>
    <definedName name="__NSO2" localSheetId="18" hidden="1">{"'Sheet1'!$L$16"}</definedName>
    <definedName name="__NSO2" localSheetId="14" hidden="1">{"'Sheet1'!$L$16"}</definedName>
    <definedName name="__NSO2" localSheetId="15" hidden="1">{"'Sheet1'!$L$16"}</definedName>
    <definedName name="__NSO2" localSheetId="16" hidden="1">{"'Sheet1'!$L$16"}</definedName>
    <definedName name="__NSO2" localSheetId="17" hidden="1">{"'Sheet1'!$L$16"}</definedName>
    <definedName name="__NSO2" localSheetId="0" hidden="1">{"'Sheet1'!$L$16"}</definedName>
    <definedName name="__NSO2" hidden="1">{"'Sheet1'!$L$16"}</definedName>
    <definedName name="__PA3" localSheetId="12" hidden="1">{"'Sheet1'!$L$16"}</definedName>
    <definedName name="__PA3" localSheetId="13" hidden="1">{"'Sheet1'!$L$16"}</definedName>
    <definedName name="__PA3" localSheetId="18" hidden="1">{"'Sheet1'!$L$16"}</definedName>
    <definedName name="__PA3" localSheetId="14" hidden="1">{"'Sheet1'!$L$16"}</definedName>
    <definedName name="__PA3" localSheetId="15" hidden="1">{"'Sheet1'!$L$16"}</definedName>
    <definedName name="__PA3" localSheetId="16" hidden="1">{"'Sheet1'!$L$16"}</definedName>
    <definedName name="__PA3" localSheetId="17" hidden="1">{"'Sheet1'!$L$16"}</definedName>
    <definedName name="__PA3" localSheetId="0" hidden="1">{"'Sheet1'!$L$16"}</definedName>
    <definedName name="__PA3" hidden="1">{"'Sheet1'!$L$16"}</definedName>
    <definedName name="__Pl2" localSheetId="12" hidden="1">{"'Sheet1'!$L$16"}</definedName>
    <definedName name="__Pl2" localSheetId="13" hidden="1">{"'Sheet1'!$L$16"}</definedName>
    <definedName name="__Pl2" localSheetId="18" hidden="1">{"'Sheet1'!$L$16"}</definedName>
    <definedName name="__Pl2" localSheetId="14" hidden="1">{"'Sheet1'!$L$16"}</definedName>
    <definedName name="__Pl2" localSheetId="15" hidden="1">{"'Sheet1'!$L$16"}</definedName>
    <definedName name="__Pl2" localSheetId="16" hidden="1">{"'Sheet1'!$L$16"}</definedName>
    <definedName name="__Pl2" localSheetId="17" hidden="1">{"'Sheet1'!$L$16"}</definedName>
    <definedName name="__Pl2" localSheetId="0" hidden="1">{"'Sheet1'!$L$16"}</definedName>
    <definedName name="__Pl2" hidden="1">{"'Sheet1'!$L$16"}</definedName>
    <definedName name="__SOC10">0.3456</definedName>
    <definedName name="__SOC8">0.2827</definedName>
    <definedName name="__Sta1">531.877</definedName>
    <definedName name="__Sta2">561.952</definedName>
    <definedName name="__Sta3">712.202</definedName>
    <definedName name="__Sta4">762.202</definedName>
    <definedName name="__Tru21" localSheetId="12" hidden="1">{"'Sheet1'!$L$16"}</definedName>
    <definedName name="__Tru21" localSheetId="13" hidden="1">{"'Sheet1'!$L$16"}</definedName>
    <definedName name="__Tru21" localSheetId="18" hidden="1">{"'Sheet1'!$L$16"}</definedName>
    <definedName name="__Tru21" localSheetId="14" hidden="1">{"'Sheet1'!$L$16"}</definedName>
    <definedName name="__Tru21" localSheetId="15" hidden="1">{"'Sheet1'!$L$16"}</definedName>
    <definedName name="__Tru21" localSheetId="16" hidden="1">{"'Sheet1'!$L$16"}</definedName>
    <definedName name="__Tru21" localSheetId="17" hidden="1">{"'Sheet1'!$L$16"}</definedName>
    <definedName name="__Tru21" localSheetId="0" hidden="1">{"'Sheet1'!$L$16"}</definedName>
    <definedName name="__Tru21" hidden="1">{"'Sheet1'!$L$16"}</definedName>
    <definedName name="__vl2" localSheetId="12" hidden="1">{"'Sheet1'!$L$16"}</definedName>
    <definedName name="__vl2" localSheetId="13" hidden="1">{"'Sheet1'!$L$16"}</definedName>
    <definedName name="__vl2" localSheetId="18" hidden="1">{"'Sheet1'!$L$16"}</definedName>
    <definedName name="__vl2" localSheetId="14" hidden="1">{"'Sheet1'!$L$16"}</definedName>
    <definedName name="__vl2" localSheetId="15" hidden="1">{"'Sheet1'!$L$16"}</definedName>
    <definedName name="__vl2" localSheetId="16" hidden="1">{"'Sheet1'!$L$16"}</definedName>
    <definedName name="__vl2" localSheetId="17" hidden="1">{"'Sheet1'!$L$16"}</definedName>
    <definedName name="__vl2" localSheetId="0" hidden="1">{"'Sheet1'!$L$16"}</definedName>
    <definedName name="__vl2" hidden="1">{"'Sheet1'!$L$16"}</definedName>
    <definedName name="_40x4">5100</definedName>
    <definedName name="_a1" localSheetId="12" hidden="1">{"'Sheet1'!$L$16"}</definedName>
    <definedName name="_a1" localSheetId="13" hidden="1">{"'Sheet1'!$L$16"}</definedName>
    <definedName name="_a1" localSheetId="18" hidden="1">{"'Sheet1'!$L$16"}</definedName>
    <definedName name="_a1" localSheetId="14" hidden="1">{"'Sheet1'!$L$16"}</definedName>
    <definedName name="_a1" localSheetId="15" hidden="1">{"'Sheet1'!$L$16"}</definedName>
    <definedName name="_a1" localSheetId="16" hidden="1">{"'Sheet1'!$L$16"}</definedName>
    <definedName name="_a1" localSheetId="17" hidden="1">{"'Sheet1'!$L$16"}</definedName>
    <definedName name="_a1" localSheetId="0" hidden="1">{"'Sheet1'!$L$16"}</definedName>
    <definedName name="_a1" hidden="1">{"'Sheet1'!$L$16"}</definedName>
    <definedName name="_a129" localSheetId="12" hidden="1">{"Offgrid",#N/A,FALSE,"OFFGRID";"Region",#N/A,FALSE,"REGION";"Offgrid -2",#N/A,FALSE,"OFFGRID";"WTP",#N/A,FALSE,"WTP";"WTP -2",#N/A,FALSE,"WTP";"Project",#N/A,FALSE,"PROJECT";"Summary -2",#N/A,FALSE,"SUMMARY"}</definedName>
    <definedName name="_a129" localSheetId="13" hidden="1">{"Offgrid",#N/A,FALSE,"OFFGRID";"Region",#N/A,FALSE,"REGION";"Offgrid -2",#N/A,FALSE,"OFFGRID";"WTP",#N/A,FALSE,"WTP";"WTP -2",#N/A,FALSE,"WTP";"Project",#N/A,FALSE,"PROJECT";"Summary -2",#N/A,FALSE,"SUMMARY"}</definedName>
    <definedName name="_a129" localSheetId="18" hidden="1">{"Offgrid",#N/A,FALSE,"OFFGRID";"Region",#N/A,FALSE,"REGION";"Offgrid -2",#N/A,FALSE,"OFFGRID";"WTP",#N/A,FALSE,"WTP";"WTP -2",#N/A,FALSE,"WTP";"Project",#N/A,FALSE,"PROJECT";"Summary -2",#N/A,FALSE,"SUMMARY"}</definedName>
    <definedName name="_a129" localSheetId="14" hidden="1">{"Offgrid",#N/A,FALSE,"OFFGRID";"Region",#N/A,FALSE,"REGION";"Offgrid -2",#N/A,FALSE,"OFFGRID";"WTP",#N/A,FALSE,"WTP";"WTP -2",#N/A,FALSE,"WTP";"Project",#N/A,FALSE,"PROJECT";"Summary -2",#N/A,FALSE,"SUMMARY"}</definedName>
    <definedName name="_a129" localSheetId="15" hidden="1">{"Offgrid",#N/A,FALSE,"OFFGRID";"Region",#N/A,FALSE,"REGION";"Offgrid -2",#N/A,FALSE,"OFFGRID";"WTP",#N/A,FALSE,"WTP";"WTP -2",#N/A,FALSE,"WTP";"Project",#N/A,FALSE,"PROJECT";"Summary -2",#N/A,FALSE,"SUMMARY"}</definedName>
    <definedName name="_a129" localSheetId="16" hidden="1">{"Offgrid",#N/A,FALSE,"OFFGRID";"Region",#N/A,FALSE,"REGION";"Offgrid -2",#N/A,FALSE,"OFFGRID";"WTP",#N/A,FALSE,"WTP";"WTP -2",#N/A,FALSE,"WTP";"Project",#N/A,FALSE,"PROJECT";"Summary -2",#N/A,FALSE,"SUMMARY"}</definedName>
    <definedName name="_a129" localSheetId="17" hidden="1">{"Offgrid",#N/A,FALSE,"OFFGRID";"Region",#N/A,FALSE,"REGION";"Offgrid -2",#N/A,FALSE,"OFFGRID";"WTP",#N/A,FALSE,"WTP";"WTP -2",#N/A,FALSE,"WTP";"Project",#N/A,FALSE,"PROJECT";"Summary -2",#N/A,FALSE,"SUMMARY"}</definedName>
    <definedName name="_a129" localSheetId="0"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12" hidden="1">{"Offgrid",#N/A,FALSE,"OFFGRID";"Region",#N/A,FALSE,"REGION";"Offgrid -2",#N/A,FALSE,"OFFGRID";"WTP",#N/A,FALSE,"WTP";"WTP -2",#N/A,FALSE,"WTP";"Project",#N/A,FALSE,"PROJECT";"Summary -2",#N/A,FALSE,"SUMMARY"}</definedName>
    <definedName name="_a130" localSheetId="13" hidden="1">{"Offgrid",#N/A,FALSE,"OFFGRID";"Region",#N/A,FALSE,"REGION";"Offgrid -2",#N/A,FALSE,"OFFGRID";"WTP",#N/A,FALSE,"WTP";"WTP -2",#N/A,FALSE,"WTP";"Project",#N/A,FALSE,"PROJECT";"Summary -2",#N/A,FALSE,"SUMMARY"}</definedName>
    <definedName name="_a130" localSheetId="18" hidden="1">{"Offgrid",#N/A,FALSE,"OFFGRID";"Region",#N/A,FALSE,"REGION";"Offgrid -2",#N/A,FALSE,"OFFGRID";"WTP",#N/A,FALSE,"WTP";"WTP -2",#N/A,FALSE,"WTP";"Project",#N/A,FALSE,"PROJECT";"Summary -2",#N/A,FALSE,"SUMMARY"}</definedName>
    <definedName name="_a130" localSheetId="14" hidden="1">{"Offgrid",#N/A,FALSE,"OFFGRID";"Region",#N/A,FALSE,"REGION";"Offgrid -2",#N/A,FALSE,"OFFGRID";"WTP",#N/A,FALSE,"WTP";"WTP -2",#N/A,FALSE,"WTP";"Project",#N/A,FALSE,"PROJECT";"Summary -2",#N/A,FALSE,"SUMMARY"}</definedName>
    <definedName name="_a130" localSheetId="15" hidden="1">{"Offgrid",#N/A,FALSE,"OFFGRID";"Region",#N/A,FALSE,"REGION";"Offgrid -2",#N/A,FALSE,"OFFGRID";"WTP",#N/A,FALSE,"WTP";"WTP -2",#N/A,FALSE,"WTP";"Project",#N/A,FALSE,"PROJECT";"Summary -2",#N/A,FALSE,"SUMMARY"}</definedName>
    <definedName name="_a130" localSheetId="16" hidden="1">{"Offgrid",#N/A,FALSE,"OFFGRID";"Region",#N/A,FALSE,"REGION";"Offgrid -2",#N/A,FALSE,"OFFGRID";"WTP",#N/A,FALSE,"WTP";"WTP -2",#N/A,FALSE,"WTP";"Project",#N/A,FALSE,"PROJECT";"Summary -2",#N/A,FALSE,"SUMMARY"}</definedName>
    <definedName name="_a130" localSheetId="17" hidden="1">{"Offgrid",#N/A,FALSE,"OFFGRID";"Region",#N/A,FALSE,"REGION";"Offgrid -2",#N/A,FALSE,"OFFGRID";"WTP",#N/A,FALSE,"WTP";"WTP -2",#N/A,FALSE,"WTP";"Project",#N/A,FALSE,"PROJECT";"Summary -2",#N/A,FALSE,"SUMMARY"}</definedName>
    <definedName name="_a130" localSheetId="0"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B1" localSheetId="12" hidden="1">{"'Sheet1'!$L$16"}</definedName>
    <definedName name="_B1" localSheetId="13" hidden="1">{"'Sheet1'!$L$16"}</definedName>
    <definedName name="_B1" localSheetId="18" hidden="1">{"'Sheet1'!$L$16"}</definedName>
    <definedName name="_B1" localSheetId="14" hidden="1">{"'Sheet1'!$L$16"}</definedName>
    <definedName name="_B1" localSheetId="15" hidden="1">{"'Sheet1'!$L$16"}</definedName>
    <definedName name="_B1" localSheetId="16" hidden="1">{"'Sheet1'!$L$16"}</definedName>
    <definedName name="_B1" localSheetId="17" hidden="1">{"'Sheet1'!$L$16"}</definedName>
    <definedName name="_B1" localSheetId="0" hidden="1">{"'Sheet1'!$L$16"}</definedName>
    <definedName name="_B1" hidden="1">{"'Sheet1'!$L$16"}</definedName>
    <definedName name="_ban2" localSheetId="12" hidden="1">{"'Sheet1'!$L$16"}</definedName>
    <definedName name="_ban2" localSheetId="13" hidden="1">{"'Sheet1'!$L$16"}</definedName>
    <definedName name="_ban2" localSheetId="18" hidden="1">{"'Sheet1'!$L$16"}</definedName>
    <definedName name="_ban2" localSheetId="14" hidden="1">{"'Sheet1'!$L$16"}</definedName>
    <definedName name="_ban2" localSheetId="15" hidden="1">{"'Sheet1'!$L$16"}</definedName>
    <definedName name="_ban2" localSheetId="16" hidden="1">{"'Sheet1'!$L$16"}</definedName>
    <definedName name="_ban2" localSheetId="17" hidden="1">{"'Sheet1'!$L$16"}</definedName>
    <definedName name="_ban2" localSheetId="0" hidden="1">{"'Sheet1'!$L$16"}</definedName>
    <definedName name="_ban2" hidden="1">{"'Sheet1'!$L$16"}</definedName>
    <definedName name="_Fill" localSheetId="13" hidden="1">#REF!</definedName>
    <definedName name="_Fill" localSheetId="15" hidden="1">#REF!</definedName>
    <definedName name="_Fill" localSheetId="17" hidden="1">#REF!</definedName>
    <definedName name="_Fill" localSheetId="9" hidden="1">#REF!</definedName>
    <definedName name="_Fill" hidden="1">#REF!</definedName>
    <definedName name="_xlnm._FilterDatabase" localSheetId="12" hidden="1">#REF!</definedName>
    <definedName name="_xlnm._FilterDatabase" localSheetId="13" hidden="1">#REF!</definedName>
    <definedName name="_xlnm._FilterDatabase" localSheetId="18" hidden="1">#REF!</definedName>
    <definedName name="_xlnm._FilterDatabase" localSheetId="14" hidden="1">#REF!</definedName>
    <definedName name="_xlnm._FilterDatabase" localSheetId="15" hidden="1">#REF!</definedName>
    <definedName name="_xlnm._FilterDatabase" localSheetId="16" hidden="1">#REF!</definedName>
    <definedName name="_xlnm._FilterDatabase" localSheetId="17" hidden="1">#REF!</definedName>
    <definedName name="_xlnm._FilterDatabase" localSheetId="3" hidden="1">'3. XSKT'!$A$9:$BA$96</definedName>
    <definedName name="_xlnm._FilterDatabase" localSheetId="5" hidden="1">'5. ĐPTTH'!$A$9:$BA$21</definedName>
    <definedName name="_xlnm._FilterDatabase" localSheetId="6" hidden="1">'6. XSKT CNT'!$A$8:$AN$12</definedName>
    <definedName name="_xlnm._FilterDatabase" localSheetId="9" hidden="1">#REF!</definedName>
    <definedName name="_xlnm._FilterDatabase" localSheetId="0" hidden="1">#REF!</definedName>
    <definedName name="_xlnm._FilterDatabase" hidden="1">#REF!</definedName>
    <definedName name="_h1" localSheetId="12" hidden="1">{"'Sheet1'!$L$16"}</definedName>
    <definedName name="_h1" localSheetId="13" hidden="1">{"'Sheet1'!$L$16"}</definedName>
    <definedName name="_h1" localSheetId="18" hidden="1">{"'Sheet1'!$L$16"}</definedName>
    <definedName name="_h1" localSheetId="14" hidden="1">{"'Sheet1'!$L$16"}</definedName>
    <definedName name="_h1" localSheetId="15" hidden="1">{"'Sheet1'!$L$16"}</definedName>
    <definedName name="_h1" localSheetId="16" hidden="1">{"'Sheet1'!$L$16"}</definedName>
    <definedName name="_h1" localSheetId="17" hidden="1">{"'Sheet1'!$L$16"}</definedName>
    <definedName name="_h1" localSheetId="0" hidden="1">{"'Sheet1'!$L$16"}</definedName>
    <definedName name="_h1" hidden="1">{"'Sheet1'!$L$16"}</definedName>
    <definedName name="_hsm2">1.1289</definedName>
    <definedName name="_hu1" localSheetId="12" hidden="1">{"'Sheet1'!$L$16"}</definedName>
    <definedName name="_hu1" localSheetId="13" hidden="1">{"'Sheet1'!$L$16"}</definedName>
    <definedName name="_hu1" localSheetId="18" hidden="1">{"'Sheet1'!$L$16"}</definedName>
    <definedName name="_hu1" localSheetId="14" hidden="1">{"'Sheet1'!$L$16"}</definedName>
    <definedName name="_hu1" localSheetId="15" hidden="1">{"'Sheet1'!$L$16"}</definedName>
    <definedName name="_hu1" localSheetId="16" hidden="1">{"'Sheet1'!$L$16"}</definedName>
    <definedName name="_hu1" localSheetId="17" hidden="1">{"'Sheet1'!$L$16"}</definedName>
    <definedName name="_hu1" localSheetId="0" hidden="1">{"'Sheet1'!$L$16"}</definedName>
    <definedName name="_hu1" hidden="1">{"'Sheet1'!$L$16"}</definedName>
    <definedName name="_hu2" localSheetId="12" hidden="1">{"'Sheet1'!$L$16"}</definedName>
    <definedName name="_hu2" localSheetId="13" hidden="1">{"'Sheet1'!$L$16"}</definedName>
    <definedName name="_hu2" localSheetId="18" hidden="1">{"'Sheet1'!$L$16"}</definedName>
    <definedName name="_hu2" localSheetId="14" hidden="1">{"'Sheet1'!$L$16"}</definedName>
    <definedName name="_hu2" localSheetId="15" hidden="1">{"'Sheet1'!$L$16"}</definedName>
    <definedName name="_hu2" localSheetId="16" hidden="1">{"'Sheet1'!$L$16"}</definedName>
    <definedName name="_hu2" localSheetId="17" hidden="1">{"'Sheet1'!$L$16"}</definedName>
    <definedName name="_hu2" localSheetId="0" hidden="1">{"'Sheet1'!$L$16"}</definedName>
    <definedName name="_hu2" hidden="1">{"'Sheet1'!$L$16"}</definedName>
    <definedName name="_hu5" localSheetId="12" hidden="1">{"'Sheet1'!$L$16"}</definedName>
    <definedName name="_hu5" localSheetId="13" hidden="1">{"'Sheet1'!$L$16"}</definedName>
    <definedName name="_hu5" localSheetId="18" hidden="1">{"'Sheet1'!$L$16"}</definedName>
    <definedName name="_hu5" localSheetId="14" hidden="1">{"'Sheet1'!$L$16"}</definedName>
    <definedName name="_hu5" localSheetId="15" hidden="1">{"'Sheet1'!$L$16"}</definedName>
    <definedName name="_hu5" localSheetId="16" hidden="1">{"'Sheet1'!$L$16"}</definedName>
    <definedName name="_hu5" localSheetId="17" hidden="1">{"'Sheet1'!$L$16"}</definedName>
    <definedName name="_hu5" localSheetId="0" hidden="1">{"'Sheet1'!$L$16"}</definedName>
    <definedName name="_hu5" hidden="1">{"'Sheet1'!$L$16"}</definedName>
    <definedName name="_hu6" localSheetId="12" hidden="1">{"'Sheet1'!$L$16"}</definedName>
    <definedName name="_hu6" localSheetId="13" hidden="1">{"'Sheet1'!$L$16"}</definedName>
    <definedName name="_hu6" localSheetId="18" hidden="1">{"'Sheet1'!$L$16"}</definedName>
    <definedName name="_hu6" localSheetId="14" hidden="1">{"'Sheet1'!$L$16"}</definedName>
    <definedName name="_hu6" localSheetId="15" hidden="1">{"'Sheet1'!$L$16"}</definedName>
    <definedName name="_hu6" localSheetId="16" hidden="1">{"'Sheet1'!$L$16"}</definedName>
    <definedName name="_hu6" localSheetId="17" hidden="1">{"'Sheet1'!$L$16"}</definedName>
    <definedName name="_hu6" localSheetId="0" hidden="1">{"'Sheet1'!$L$16"}</definedName>
    <definedName name="_hu6" hidden="1">{"'Sheet1'!$L$16"}</definedName>
    <definedName name="_isc1">0.035</definedName>
    <definedName name="_isc2">0.02</definedName>
    <definedName name="_isc3">0.054</definedName>
    <definedName name="_Key1" localSheetId="12" hidden="1">#REF!</definedName>
    <definedName name="_Key1" localSheetId="13" hidden="1">#REF!</definedName>
    <definedName name="_Key1" localSheetId="18" hidden="1">#REF!</definedName>
    <definedName name="_Key1" localSheetId="15" hidden="1">#REF!</definedName>
    <definedName name="_Key1" localSheetId="17" hidden="1">#REF!</definedName>
    <definedName name="_Key1" localSheetId="9" hidden="1">#REF!</definedName>
    <definedName name="_Key1" hidden="1">#REF!</definedName>
    <definedName name="_Key2" localSheetId="12" hidden="1">#REF!</definedName>
    <definedName name="_Key2" localSheetId="13" hidden="1">#REF!</definedName>
    <definedName name="_Key2" localSheetId="18" hidden="1">#REF!</definedName>
    <definedName name="_Key2" localSheetId="15" hidden="1">#REF!</definedName>
    <definedName name="_Key2" localSheetId="17" hidden="1">#REF!</definedName>
    <definedName name="_Key2" localSheetId="9" hidden="1">#REF!</definedName>
    <definedName name="_Key2" hidden="1">#REF!</definedName>
    <definedName name="_km03" localSheetId="12" hidden="1">{"'Sheet1'!$L$16"}</definedName>
    <definedName name="_km03" localSheetId="13" hidden="1">{"'Sheet1'!$L$16"}</definedName>
    <definedName name="_km03" localSheetId="18" hidden="1">{"'Sheet1'!$L$16"}</definedName>
    <definedName name="_km03" localSheetId="14" hidden="1">{"'Sheet1'!$L$16"}</definedName>
    <definedName name="_km03" localSheetId="15" hidden="1">{"'Sheet1'!$L$16"}</definedName>
    <definedName name="_km03" localSheetId="16" hidden="1">{"'Sheet1'!$L$16"}</definedName>
    <definedName name="_km03" localSheetId="17" hidden="1">{"'Sheet1'!$L$16"}</definedName>
    <definedName name="_km03" localSheetId="0" hidden="1">{"'Sheet1'!$L$16"}</definedName>
    <definedName name="_km03" hidden="1">{"'Sheet1'!$L$16"}</definedName>
    <definedName name="_M36" localSheetId="12" hidden="1">{"'Sheet1'!$L$16"}</definedName>
    <definedName name="_M36" localSheetId="13" hidden="1">{"'Sheet1'!$L$16"}</definedName>
    <definedName name="_M36" localSheetId="18" hidden="1">{"'Sheet1'!$L$16"}</definedName>
    <definedName name="_M36" localSheetId="14" hidden="1">{"'Sheet1'!$L$16"}</definedName>
    <definedName name="_M36" localSheetId="15" hidden="1">{"'Sheet1'!$L$16"}</definedName>
    <definedName name="_M36" localSheetId="16" hidden="1">{"'Sheet1'!$L$16"}</definedName>
    <definedName name="_M36" localSheetId="17" hidden="1">{"'Sheet1'!$L$16"}</definedName>
    <definedName name="_M36" localSheetId="0" hidden="1">{"'Sheet1'!$L$16"}</definedName>
    <definedName name="_M36" hidden="1">{"'Sheet1'!$L$16"}</definedName>
    <definedName name="_NSO2" localSheetId="12" hidden="1">{"'Sheet1'!$L$16"}</definedName>
    <definedName name="_NSO2" localSheetId="13" hidden="1">{"'Sheet1'!$L$16"}</definedName>
    <definedName name="_NSO2" localSheetId="18" hidden="1">{"'Sheet1'!$L$16"}</definedName>
    <definedName name="_NSO2" localSheetId="14" hidden="1">{"'Sheet1'!$L$16"}</definedName>
    <definedName name="_NSO2" localSheetId="15" hidden="1">{"'Sheet1'!$L$16"}</definedName>
    <definedName name="_NSO2" localSheetId="16" hidden="1">{"'Sheet1'!$L$16"}</definedName>
    <definedName name="_NSO2" localSheetId="17" hidden="1">{"'Sheet1'!$L$16"}</definedName>
    <definedName name="_NSO2" localSheetId="0" hidden="1">{"'Sheet1'!$L$16"}</definedName>
    <definedName name="_NSO2" hidden="1">{"'Sheet1'!$L$16"}</definedName>
    <definedName name="_Order1" hidden="1">255</definedName>
    <definedName name="_Order2" hidden="1">255</definedName>
    <definedName name="_PA3" localSheetId="12" hidden="1">{"'Sheet1'!$L$16"}</definedName>
    <definedName name="_PA3" localSheetId="13" hidden="1">{"'Sheet1'!$L$16"}</definedName>
    <definedName name="_PA3" localSheetId="18" hidden="1">{"'Sheet1'!$L$16"}</definedName>
    <definedName name="_PA3" localSheetId="14" hidden="1">{"'Sheet1'!$L$16"}</definedName>
    <definedName name="_PA3" localSheetId="15" hidden="1">{"'Sheet1'!$L$16"}</definedName>
    <definedName name="_PA3" localSheetId="16" hidden="1">{"'Sheet1'!$L$16"}</definedName>
    <definedName name="_PA3" localSheetId="17" hidden="1">{"'Sheet1'!$L$16"}</definedName>
    <definedName name="_PA3" localSheetId="0" hidden="1">{"'Sheet1'!$L$16"}</definedName>
    <definedName name="_PA3" hidden="1">{"'Sheet1'!$L$16"}</definedName>
    <definedName name="_Pl2" localSheetId="12" hidden="1">{"'Sheet1'!$L$16"}</definedName>
    <definedName name="_Pl2" localSheetId="13" hidden="1">{"'Sheet1'!$L$16"}</definedName>
    <definedName name="_Pl2" localSheetId="18" hidden="1">{"'Sheet1'!$L$16"}</definedName>
    <definedName name="_Pl2" localSheetId="14" hidden="1">{"'Sheet1'!$L$16"}</definedName>
    <definedName name="_Pl2" localSheetId="15" hidden="1">{"'Sheet1'!$L$16"}</definedName>
    <definedName name="_Pl2" localSheetId="16" hidden="1">{"'Sheet1'!$L$16"}</definedName>
    <definedName name="_Pl2" localSheetId="17" hidden="1">{"'Sheet1'!$L$16"}</definedName>
    <definedName name="_Pl2" localSheetId="0" hidden="1">{"'Sheet1'!$L$16"}</definedName>
    <definedName name="_Pl2" hidden="1">{"'Sheet1'!$L$16"}</definedName>
    <definedName name="_PL3" localSheetId="13" hidden="1">#REF!</definedName>
    <definedName name="_PL3" localSheetId="15" hidden="1">#REF!</definedName>
    <definedName name="_PL3" localSheetId="17" hidden="1">#REF!</definedName>
    <definedName name="_PL3" localSheetId="9" hidden="1">#REF!</definedName>
    <definedName name="_PL3" hidden="1">#REF!</definedName>
    <definedName name="_SOC10">0.3456</definedName>
    <definedName name="_SOC8">0.2827</definedName>
    <definedName name="_Sort" localSheetId="12" hidden="1">#REF!</definedName>
    <definedName name="_Sort" localSheetId="13" hidden="1">#REF!</definedName>
    <definedName name="_Sort" localSheetId="18" hidden="1">#REF!</definedName>
    <definedName name="_Sort" localSheetId="15" hidden="1">#REF!</definedName>
    <definedName name="_Sort" localSheetId="17" hidden="1">#REF!</definedName>
    <definedName name="_Sort" localSheetId="9" hidden="1">#REF!</definedName>
    <definedName name="_Sort" hidden="1">#REF!</definedName>
    <definedName name="_Sta1">531.877</definedName>
    <definedName name="_Sta2">561.952</definedName>
    <definedName name="_Sta3">712.202</definedName>
    <definedName name="_Sta4">762.202</definedName>
    <definedName name="_Tru21" localSheetId="12" hidden="1">{"'Sheet1'!$L$16"}</definedName>
    <definedName name="_Tru21" localSheetId="13" hidden="1">{"'Sheet1'!$L$16"}</definedName>
    <definedName name="_Tru21" localSheetId="18" hidden="1">{"'Sheet1'!$L$16"}</definedName>
    <definedName name="_Tru21" localSheetId="14" hidden="1">{"'Sheet1'!$L$16"}</definedName>
    <definedName name="_Tru21" localSheetId="15" hidden="1">{"'Sheet1'!$L$16"}</definedName>
    <definedName name="_Tru21" localSheetId="16" hidden="1">{"'Sheet1'!$L$16"}</definedName>
    <definedName name="_Tru21" localSheetId="17" hidden="1">{"'Sheet1'!$L$16"}</definedName>
    <definedName name="_Tru21" localSheetId="0" hidden="1">{"'Sheet1'!$L$16"}</definedName>
    <definedName name="_Tru21" hidden="1">{"'Sheet1'!$L$16"}</definedName>
    <definedName name="_vl2" localSheetId="12" hidden="1">{"'Sheet1'!$L$16"}</definedName>
    <definedName name="_vl2" localSheetId="13" hidden="1">{"'Sheet1'!$L$16"}</definedName>
    <definedName name="_vl2" localSheetId="18" hidden="1">{"'Sheet1'!$L$16"}</definedName>
    <definedName name="_vl2" localSheetId="14" hidden="1">{"'Sheet1'!$L$16"}</definedName>
    <definedName name="_vl2" localSheetId="15" hidden="1">{"'Sheet1'!$L$16"}</definedName>
    <definedName name="_vl2" localSheetId="16" hidden="1">{"'Sheet1'!$L$16"}</definedName>
    <definedName name="_vl2" localSheetId="17" hidden="1">{"'Sheet1'!$L$16"}</definedName>
    <definedName name="_vl2" localSheetId="0" hidden="1">{"'Sheet1'!$L$16"}</definedName>
    <definedName name="_vl2" hidden="1">{"'Sheet1'!$L$16"}</definedName>
    <definedName name="a" localSheetId="12" hidden="1">{"'Sheet1'!$L$16"}</definedName>
    <definedName name="a" localSheetId="13" hidden="1">{"'Sheet1'!$L$16"}</definedName>
    <definedName name="a" localSheetId="18" hidden="1">{"'Sheet1'!$L$16"}</definedName>
    <definedName name="a" localSheetId="14" hidden="1">{"'Sheet1'!$L$16"}</definedName>
    <definedName name="a" localSheetId="15" hidden="1">{"'Sheet1'!$L$16"}</definedName>
    <definedName name="a" localSheetId="16" hidden="1">{"'Sheet1'!$L$16"}</definedName>
    <definedName name="a" localSheetId="17" hidden="1">{"'Sheet1'!$L$16"}</definedName>
    <definedName name="a" localSheetId="0" hidden="1">{"'Sheet1'!$L$16"}</definedName>
    <definedName name="a" hidden="1">{"'Sheet1'!$L$16"}</definedName>
    <definedName name="ABC" localSheetId="13" hidden="1">#REF!</definedName>
    <definedName name="ABC" localSheetId="15" hidden="1">#REF!</definedName>
    <definedName name="ABC" localSheetId="17" hidden="1">#REF!</definedName>
    <definedName name="ABC" localSheetId="9" hidden="1">#REF!</definedName>
    <definedName name="ABC" hidden="1">#REF!</definedName>
    <definedName name="anscount" hidden="1">3</definedName>
    <definedName name="ATGT" localSheetId="12" hidden="1">{"'Sheet1'!$L$16"}</definedName>
    <definedName name="ATGT" localSheetId="13" hidden="1">{"'Sheet1'!$L$16"}</definedName>
    <definedName name="ATGT" localSheetId="18" hidden="1">{"'Sheet1'!$L$16"}</definedName>
    <definedName name="ATGT" localSheetId="14" hidden="1">{"'Sheet1'!$L$16"}</definedName>
    <definedName name="ATGT" localSheetId="15" hidden="1">{"'Sheet1'!$L$16"}</definedName>
    <definedName name="ATGT" localSheetId="16" hidden="1">{"'Sheet1'!$L$16"}</definedName>
    <definedName name="ATGT" localSheetId="17" hidden="1">{"'Sheet1'!$L$16"}</definedName>
    <definedName name="ATGT" localSheetId="0" hidden="1">{"'Sheet1'!$L$16"}</definedName>
    <definedName name="ATGT" hidden="1">{"'Sheet1'!$L$16"}</definedName>
    <definedName name="B.nuamat">7.25</definedName>
    <definedName name="bdd">1.5</definedName>
    <definedName name="Bm">3.5</definedName>
    <definedName name="Bn">6.5</definedName>
    <definedName name="Bulongma">8700</definedName>
    <definedName name="C.doc1">540</definedName>
    <definedName name="C.doc2">740</definedName>
    <definedName name="CACAU">298161</definedName>
    <definedName name="CDTK_tim">31.77</definedName>
    <definedName name="chitietbgiang2" localSheetId="12" hidden="1">{"'Sheet1'!$L$16"}</definedName>
    <definedName name="chitietbgiang2" localSheetId="13" hidden="1">{"'Sheet1'!$L$16"}</definedName>
    <definedName name="chitietbgiang2" localSheetId="18" hidden="1">{"'Sheet1'!$L$16"}</definedName>
    <definedName name="chitietbgiang2" localSheetId="14" hidden="1">{"'Sheet1'!$L$16"}</definedName>
    <definedName name="chitietbgiang2" localSheetId="15" hidden="1">{"'Sheet1'!$L$16"}</definedName>
    <definedName name="chitietbgiang2" localSheetId="16" hidden="1">{"'Sheet1'!$L$16"}</definedName>
    <definedName name="chitietbgiang2" localSheetId="17" hidden="1">{"'Sheet1'!$L$16"}</definedName>
    <definedName name="chitietbgiang2" localSheetId="0" hidden="1">{"'Sheet1'!$L$16"}</definedName>
    <definedName name="chitietbgiang2" hidden="1">{"'Sheet1'!$L$16"}</definedName>
    <definedName name="chung">66</definedName>
    <definedName name="CLVC3">0.1</definedName>
    <definedName name="CoCauN" localSheetId="12" hidden="1">{"'Sheet1'!$L$16"}</definedName>
    <definedName name="CoCauN" localSheetId="13" hidden="1">{"'Sheet1'!$L$16"}</definedName>
    <definedName name="CoCauN" localSheetId="18" hidden="1">{"'Sheet1'!$L$16"}</definedName>
    <definedName name="CoCauN" localSheetId="14" hidden="1">{"'Sheet1'!$L$16"}</definedName>
    <definedName name="CoCauN" localSheetId="15" hidden="1">{"'Sheet1'!$L$16"}</definedName>
    <definedName name="CoCauN" localSheetId="16" hidden="1">{"'Sheet1'!$L$16"}</definedName>
    <definedName name="CoCauN" localSheetId="17" hidden="1">{"'Sheet1'!$L$16"}</definedName>
    <definedName name="CoCauN" localSheetId="0" hidden="1">{"'Sheet1'!$L$16"}</definedName>
    <definedName name="CoCauN" hidden="1">{"'Sheet1'!$L$16"}</definedName>
    <definedName name="Code" localSheetId="13" hidden="1">#REF!</definedName>
    <definedName name="Code" localSheetId="15" hidden="1">#REF!</definedName>
    <definedName name="Code" localSheetId="17" hidden="1">#REF!</definedName>
    <definedName name="Code" localSheetId="9" hidden="1">#REF!</definedName>
    <definedName name="Code" hidden="1">#REF!</definedName>
    <definedName name="Cotsatma">9726</definedName>
    <definedName name="Cotthepma">9726</definedName>
    <definedName name="CP" localSheetId="12" hidden="1">#REF!</definedName>
    <definedName name="CP" localSheetId="13" hidden="1">#REF!</definedName>
    <definedName name="CP" localSheetId="18" hidden="1">#REF!</definedName>
    <definedName name="CP" localSheetId="15" hidden="1">#REF!</definedName>
    <definedName name="CP" localSheetId="17" hidden="1">#REF!</definedName>
    <definedName name="CP" localSheetId="9" hidden="1">#REF!</definedName>
    <definedName name="CP" hidden="1">#REF!</definedName>
    <definedName name="CTCT1" localSheetId="12" hidden="1">{"'Sheet1'!$L$16"}</definedName>
    <definedName name="CTCT1" localSheetId="13" hidden="1">{"'Sheet1'!$L$16"}</definedName>
    <definedName name="CTCT1" localSheetId="18" hidden="1">{"'Sheet1'!$L$16"}</definedName>
    <definedName name="CTCT1" localSheetId="14" hidden="1">{"'Sheet1'!$L$16"}</definedName>
    <definedName name="CTCT1" localSheetId="15" hidden="1">{"'Sheet1'!$L$16"}</definedName>
    <definedName name="CTCT1" localSheetId="16" hidden="1">{"'Sheet1'!$L$16"}</definedName>
    <definedName name="CTCT1" localSheetId="17" hidden="1">{"'Sheet1'!$L$16"}</definedName>
    <definedName name="CTCT1" localSheetId="0" hidden="1">{"'Sheet1'!$L$16"}</definedName>
    <definedName name="CTCT1" hidden="1">{"'Sheet1'!$L$16"}</definedName>
    <definedName name="dam">78000</definedName>
    <definedName name="data1" localSheetId="12" hidden="1">#REF!</definedName>
    <definedName name="data1" localSheetId="13" hidden="1">#REF!</definedName>
    <definedName name="data1" localSheetId="18" hidden="1">#REF!</definedName>
    <definedName name="data1" localSheetId="15" hidden="1">#REF!</definedName>
    <definedName name="data1" localSheetId="17" hidden="1">#REF!</definedName>
    <definedName name="data1" localSheetId="9" hidden="1">#REF!</definedName>
    <definedName name="data1" hidden="1">#REF!</definedName>
    <definedName name="data2" localSheetId="13" hidden="1">#REF!</definedName>
    <definedName name="data2" localSheetId="15" hidden="1">#REF!</definedName>
    <definedName name="data2" localSheetId="17" hidden="1">#REF!</definedName>
    <definedName name="data2" localSheetId="9" hidden="1">#REF!</definedName>
    <definedName name="data2" hidden="1">#REF!</definedName>
    <definedName name="data3" localSheetId="13" hidden="1">#REF!</definedName>
    <definedName name="data3" localSheetId="15" hidden="1">#REF!</definedName>
    <definedName name="data3" localSheetId="17" hidden="1">#REF!</definedName>
    <definedName name="data3" localSheetId="9" hidden="1">#REF!</definedName>
    <definedName name="data3" hidden="1">#REF!</definedName>
    <definedName name="DCL_22">12117600</definedName>
    <definedName name="DCL_35">25490000</definedName>
    <definedName name="dddem">0.1</definedName>
    <definedName name="Discount" localSheetId="12" hidden="1">#REF!</definedName>
    <definedName name="Discount" localSheetId="13" hidden="1">#REF!</definedName>
    <definedName name="Discount" localSheetId="18" hidden="1">#REF!</definedName>
    <definedName name="Discount" localSheetId="15" hidden="1">#REF!</definedName>
    <definedName name="Discount" localSheetId="17" hidden="1">#REF!</definedName>
    <definedName name="Discount" localSheetId="9" hidden="1">#REF!</definedName>
    <definedName name="Discount" hidden="1">#REF!</definedName>
    <definedName name="display_area_2" localSheetId="12" hidden="1">#REF!</definedName>
    <definedName name="display_area_2" localSheetId="13" hidden="1">#REF!</definedName>
    <definedName name="display_area_2" localSheetId="18" hidden="1">#REF!</definedName>
    <definedName name="display_area_2" localSheetId="15" hidden="1">#REF!</definedName>
    <definedName name="display_area_2" localSheetId="17" hidden="1">#REF!</definedName>
    <definedName name="display_area_2" localSheetId="9" hidden="1">#REF!</definedName>
    <definedName name="display_area_2" hidden="1">#REF!</definedName>
    <definedName name="docdoc">0.03125</definedName>
    <definedName name="dotcong">1</definedName>
    <definedName name="drf" localSheetId="12" hidden="1">#REF!</definedName>
    <definedName name="drf" localSheetId="13" hidden="1">#REF!</definedName>
    <definedName name="drf" localSheetId="18" hidden="1">#REF!</definedName>
    <definedName name="drf" localSheetId="15" hidden="1">#REF!</definedName>
    <definedName name="drf" localSheetId="17" hidden="1">#REF!</definedName>
    <definedName name="drf" localSheetId="9" hidden="1">#REF!</definedName>
    <definedName name="drf" hidden="1">#REF!</definedName>
    <definedName name="ds" localSheetId="12" hidden="1">{#N/A,#N/A,FALSE,"Chi tiÆt"}</definedName>
    <definedName name="ds" localSheetId="13" hidden="1">{#N/A,#N/A,FALSE,"Chi tiÆt"}</definedName>
    <definedName name="ds" localSheetId="18" hidden="1">{#N/A,#N/A,FALSE,"Chi tiÆt"}</definedName>
    <definedName name="ds" localSheetId="14" hidden="1">{#N/A,#N/A,FALSE,"Chi tiÆt"}</definedName>
    <definedName name="ds" localSheetId="15" hidden="1">{#N/A,#N/A,FALSE,"Chi tiÆt"}</definedName>
    <definedName name="ds" localSheetId="16" hidden="1">{#N/A,#N/A,FALSE,"Chi tiÆt"}</definedName>
    <definedName name="ds" localSheetId="17" hidden="1">{#N/A,#N/A,FALSE,"Chi tiÆt"}</definedName>
    <definedName name="ds" localSheetId="0" hidden="1">{#N/A,#N/A,FALSE,"Chi tiÆt"}</definedName>
    <definedName name="ds" hidden="1">{#N/A,#N/A,FALSE,"Chi tiÆt"}</definedName>
    <definedName name="dsh" localSheetId="12" hidden="1">#REF!</definedName>
    <definedName name="dsh" localSheetId="13" hidden="1">#REF!</definedName>
    <definedName name="dsh" localSheetId="18" hidden="1">#REF!</definedName>
    <definedName name="dsh" localSheetId="15" hidden="1">#REF!</definedName>
    <definedName name="dsh" localSheetId="16" hidden="1">#REF!</definedName>
    <definedName name="dsh" localSheetId="17" hidden="1">#REF!</definedName>
    <definedName name="dsh" localSheetId="9" hidden="1">#REF!</definedName>
    <definedName name="dsh" hidden="1">#REF!</definedName>
    <definedName name="E.chandoc">8.875</definedName>
    <definedName name="E.PC">10.438</definedName>
    <definedName name="E.PVI">12</definedName>
    <definedName name="FCode" localSheetId="12" hidden="1">#REF!</definedName>
    <definedName name="FCode" localSheetId="13" hidden="1">#REF!</definedName>
    <definedName name="FCode" localSheetId="18" hidden="1">#REF!</definedName>
    <definedName name="FCode" localSheetId="15" hidden="1">#REF!</definedName>
    <definedName name="FCode" localSheetId="16" hidden="1">#REF!</definedName>
    <definedName name="FCode" localSheetId="17" hidden="1">#REF!</definedName>
    <definedName name="FCode" localSheetId="9" hidden="1">#REF!</definedName>
    <definedName name="FCode" hidden="1">#REF!</definedName>
    <definedName name="fff" localSheetId="12" hidden="1">{"'Sheet1'!$L$16"}</definedName>
    <definedName name="fff" localSheetId="13" hidden="1">{"'Sheet1'!$L$16"}</definedName>
    <definedName name="fff" localSheetId="18" hidden="1">{"'Sheet1'!$L$16"}</definedName>
    <definedName name="fff" localSheetId="14" hidden="1">{"'Sheet1'!$L$16"}</definedName>
    <definedName name="fff" localSheetId="15" hidden="1">{"'Sheet1'!$L$16"}</definedName>
    <definedName name="fff" localSheetId="16" hidden="1">{"'Sheet1'!$L$16"}</definedName>
    <definedName name="fff" localSheetId="17" hidden="1">{"'Sheet1'!$L$16"}</definedName>
    <definedName name="fff" localSheetId="0" hidden="1">{"'Sheet1'!$L$16"}</definedName>
    <definedName name="fff" hidden="1">{"'Sheet1'!$L$16"}</definedName>
    <definedName name="FI_12">4820</definedName>
    <definedName name="g" localSheetId="12" hidden="1">{"'Sheet1'!$L$16"}</definedName>
    <definedName name="g" localSheetId="13" hidden="1">{"'Sheet1'!$L$16"}</definedName>
    <definedName name="g" localSheetId="18" hidden="1">{"'Sheet1'!$L$16"}</definedName>
    <definedName name="g" localSheetId="14" hidden="1">{"'Sheet1'!$L$16"}</definedName>
    <definedName name="g" localSheetId="15" hidden="1">{"'Sheet1'!$L$16"}</definedName>
    <definedName name="g" localSheetId="16" hidden="1">{"'Sheet1'!$L$16"}</definedName>
    <definedName name="g" localSheetId="17" hidden="1">{"'Sheet1'!$L$16"}</definedName>
    <definedName name="g" localSheetId="0" hidden="1">{"'Sheet1'!$L$16"}</definedName>
    <definedName name="g" hidden="1">{"'Sheet1'!$L$16"}</definedName>
    <definedName name="h" localSheetId="12" hidden="1">{"'Sheet1'!$L$16"}</definedName>
    <definedName name="h" localSheetId="13" hidden="1">{"'Sheet1'!$L$16"}</definedName>
    <definedName name="h" localSheetId="18" hidden="1">{"'Sheet1'!$L$16"}</definedName>
    <definedName name="h" localSheetId="14" hidden="1">{"'Sheet1'!$L$16"}</definedName>
    <definedName name="h" localSheetId="15" hidden="1">{"'Sheet1'!$L$16"}</definedName>
    <definedName name="h" localSheetId="16" hidden="1">{"'Sheet1'!$L$16"}</definedName>
    <definedName name="h" localSheetId="17" hidden="1">{"'Sheet1'!$L$16"}</definedName>
    <definedName name="h" localSheetId="0" hidden="1">{"'Sheet1'!$L$16"}</definedName>
    <definedName name="h" hidden="1">{"'Sheet1'!$L$16"}</definedName>
    <definedName name="Hdao">0.3</definedName>
    <definedName name="Hdap">5.2</definedName>
    <definedName name="Heä_soá_laép_xaø_H">1.7</definedName>
    <definedName name="HiddenRows" localSheetId="12" hidden="1">#REF!</definedName>
    <definedName name="HiddenRows" localSheetId="13" hidden="1">#REF!</definedName>
    <definedName name="HiddenRows" localSheetId="18" hidden="1">#REF!</definedName>
    <definedName name="HiddenRows" localSheetId="15" hidden="1">#REF!</definedName>
    <definedName name="HiddenRows" localSheetId="17" hidden="1">#REF!</definedName>
    <definedName name="HiddenRows" localSheetId="9" hidden="1">#REF!</definedName>
    <definedName name="HiddenRows" hidden="1">#REF!</definedName>
    <definedName name="hoc">55000</definedName>
    <definedName name="HSCT3">0.1</definedName>
    <definedName name="HSDN">2.5</definedName>
    <definedName name="HSLXH">1.7</definedName>
    <definedName name="hsm">1.1289</definedName>
    <definedName name="hsn">0.5</definedName>
    <definedName name="hsnc_cau">2.5039</definedName>
    <definedName name="hsnc_cau2">1.626</definedName>
    <definedName name="hsnc_d">1.6356</definedName>
    <definedName name="hsnc_d2">1.6356</definedName>
    <definedName name="hsvl">1</definedName>
    <definedName name="hsvl2">1</definedName>
    <definedName name="htlm" localSheetId="12" hidden="1">{"'Sheet1'!$L$16"}</definedName>
    <definedName name="htlm" localSheetId="13" hidden="1">{"'Sheet1'!$L$16"}</definedName>
    <definedName name="htlm" localSheetId="18" hidden="1">{"'Sheet1'!$L$16"}</definedName>
    <definedName name="htlm" localSheetId="14" hidden="1">{"'Sheet1'!$L$16"}</definedName>
    <definedName name="htlm" localSheetId="15" hidden="1">{"'Sheet1'!$L$16"}</definedName>
    <definedName name="htlm" localSheetId="16" hidden="1">{"'Sheet1'!$L$16"}</definedName>
    <definedName name="htlm" localSheetId="17" hidden="1">{"'Sheet1'!$L$16"}</definedName>
    <definedName name="htlm" localSheetId="0" hidden="1">{"'Sheet1'!$L$16"}</definedName>
    <definedName name="htlm" hidden="1">{"'Sheet1'!$L$16"}</definedName>
    <definedName name="HTML_CodePage" hidden="1">950</definedName>
    <definedName name="HTML_Control" localSheetId="12" hidden="1">{"'Sheet1'!$L$16"}</definedName>
    <definedName name="HTML_Control" localSheetId="13" hidden="1">{"'Sheet1'!$L$16"}</definedName>
    <definedName name="HTML_Control" localSheetId="18" hidden="1">{"'Sheet1'!$L$16"}</definedName>
    <definedName name="HTML_Control" localSheetId="14" hidden="1">{"'Sheet1'!$L$16"}</definedName>
    <definedName name="HTML_Control" localSheetId="15" hidden="1">{"'Sheet1'!$L$16"}</definedName>
    <definedName name="HTML_Control" localSheetId="16" hidden="1">{"'Sheet1'!$L$16"}</definedName>
    <definedName name="HTML_Control" localSheetId="17" hidden="1">{"'Sheet1'!$L$16"}</definedName>
    <definedName name="HTML_Control" localSheetId="0"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 localSheetId="12" hidden="1">{"'Sheet1'!$L$16"}</definedName>
    <definedName name="hu" localSheetId="13" hidden="1">{"'Sheet1'!$L$16"}</definedName>
    <definedName name="hu" localSheetId="18" hidden="1">{"'Sheet1'!$L$16"}</definedName>
    <definedName name="hu" localSheetId="14" hidden="1">{"'Sheet1'!$L$16"}</definedName>
    <definedName name="hu" localSheetId="15" hidden="1">{"'Sheet1'!$L$16"}</definedName>
    <definedName name="hu" localSheetId="16" hidden="1">{"'Sheet1'!$L$16"}</definedName>
    <definedName name="hu" localSheetId="17" hidden="1">{"'Sheet1'!$L$16"}</definedName>
    <definedName name="hu" localSheetId="0" hidden="1">{"'Sheet1'!$L$16"}</definedName>
    <definedName name="hu" hidden="1">{"'Sheet1'!$L$16"}</definedName>
    <definedName name="HUU" localSheetId="12" hidden="1">{"'Sheet1'!$L$16"}</definedName>
    <definedName name="HUU" localSheetId="13" hidden="1">{"'Sheet1'!$L$16"}</definedName>
    <definedName name="HUU" localSheetId="18" hidden="1">{"'Sheet1'!$L$16"}</definedName>
    <definedName name="HUU" localSheetId="14" hidden="1">{"'Sheet1'!$L$16"}</definedName>
    <definedName name="HUU" localSheetId="15" hidden="1">{"'Sheet1'!$L$16"}</definedName>
    <definedName name="HUU" localSheetId="16" hidden="1">{"'Sheet1'!$L$16"}</definedName>
    <definedName name="HUU" localSheetId="17" hidden="1">{"'Sheet1'!$L$16"}</definedName>
    <definedName name="HUU" localSheetId="0" hidden="1">{"'Sheet1'!$L$16"}</definedName>
    <definedName name="HUU" hidden="1">{"'Sheet1'!$L$16"}</definedName>
    <definedName name="huy" localSheetId="12" hidden="1">{"'Sheet1'!$L$16"}</definedName>
    <definedName name="huy" localSheetId="13" hidden="1">{"'Sheet1'!$L$16"}</definedName>
    <definedName name="huy" localSheetId="18" hidden="1">{"'Sheet1'!$L$16"}</definedName>
    <definedName name="huy" localSheetId="14" hidden="1">{"'Sheet1'!$L$16"}</definedName>
    <definedName name="huy" localSheetId="15" hidden="1">{"'Sheet1'!$L$16"}</definedName>
    <definedName name="huy" localSheetId="16" hidden="1">{"'Sheet1'!$L$16"}</definedName>
    <definedName name="huy" localSheetId="17" hidden="1">{"'Sheet1'!$L$16"}</definedName>
    <definedName name="huy" localSheetId="0" hidden="1">{"'Sheet1'!$L$16"}</definedName>
    <definedName name="huy" hidden="1">{"'Sheet1'!$L$16"}</definedName>
    <definedName name="j" localSheetId="12" hidden="1">{"'Sheet1'!$L$16"}</definedName>
    <definedName name="j" localSheetId="13" hidden="1">{"'Sheet1'!$L$16"}</definedName>
    <definedName name="j" localSheetId="18" hidden="1">{"'Sheet1'!$L$16"}</definedName>
    <definedName name="j" localSheetId="14" hidden="1">{"'Sheet1'!$L$16"}</definedName>
    <definedName name="j" localSheetId="15" hidden="1">{"'Sheet1'!$L$16"}</definedName>
    <definedName name="j" localSheetId="16" hidden="1">{"'Sheet1'!$L$16"}</definedName>
    <definedName name="j" localSheetId="17" hidden="1">{"'Sheet1'!$L$16"}</definedName>
    <definedName name="j" localSheetId="0" hidden="1">{"'Sheet1'!$L$16"}</definedName>
    <definedName name="j" hidden="1">{"'Sheet1'!$L$16"}</definedName>
    <definedName name="k" localSheetId="12" hidden="1">{"'Sheet1'!$L$16"}</definedName>
    <definedName name="k" localSheetId="13" hidden="1">{"'Sheet1'!$L$16"}</definedName>
    <definedName name="k" localSheetId="18" hidden="1">{"'Sheet1'!$L$16"}</definedName>
    <definedName name="k" localSheetId="14" hidden="1">{"'Sheet1'!$L$16"}</definedName>
    <definedName name="k" localSheetId="15" hidden="1">{"'Sheet1'!$L$16"}</definedName>
    <definedName name="k" localSheetId="16" hidden="1">{"'Sheet1'!$L$16"}</definedName>
    <definedName name="k" localSheetId="17" hidden="1">{"'Sheet1'!$L$16"}</definedName>
    <definedName name="k" localSheetId="0" hidden="1">{"'Sheet1'!$L$16"}</definedName>
    <definedName name="k" hidden="1">{"'Sheet1'!$L$16"}</definedName>
    <definedName name="khac">2</definedName>
    <definedName name="khongtruotgia" localSheetId="12" hidden="1">{"'Sheet1'!$L$16"}</definedName>
    <definedName name="khongtruotgia" localSheetId="13" hidden="1">{"'Sheet1'!$L$16"}</definedName>
    <definedName name="khongtruotgia" localSheetId="18" hidden="1">{"'Sheet1'!$L$16"}</definedName>
    <definedName name="khongtruotgia" localSheetId="14" hidden="1">{"'Sheet1'!$L$16"}</definedName>
    <definedName name="khongtruotgia" localSheetId="15" hidden="1">{"'Sheet1'!$L$16"}</definedName>
    <definedName name="khongtruotgia" localSheetId="16" hidden="1">{"'Sheet1'!$L$16"}</definedName>
    <definedName name="khongtruotgia" localSheetId="17" hidden="1">{"'Sheet1'!$L$16"}</definedName>
    <definedName name="khongtruotgia" localSheetId="0" hidden="1">{"'Sheet1'!$L$16"}</definedName>
    <definedName name="khongtruotgia" hidden="1">{"'Sheet1'!$L$16"}</definedName>
    <definedName name="ksbn" localSheetId="12" hidden="1">{"'Sheet1'!$L$16"}</definedName>
    <definedName name="ksbn" localSheetId="13" hidden="1">{"'Sheet1'!$L$16"}</definedName>
    <definedName name="ksbn" localSheetId="18" hidden="1">{"'Sheet1'!$L$16"}</definedName>
    <definedName name="ksbn" localSheetId="14" hidden="1">{"'Sheet1'!$L$16"}</definedName>
    <definedName name="ksbn" localSheetId="15" hidden="1">{"'Sheet1'!$L$16"}</definedName>
    <definedName name="ksbn" localSheetId="16" hidden="1">{"'Sheet1'!$L$16"}</definedName>
    <definedName name="ksbn" localSheetId="17" hidden="1">{"'Sheet1'!$L$16"}</definedName>
    <definedName name="ksbn" localSheetId="0" hidden="1">{"'Sheet1'!$L$16"}</definedName>
    <definedName name="ksbn" hidden="1">{"'Sheet1'!$L$16"}</definedName>
    <definedName name="kshn" localSheetId="12" hidden="1">{"'Sheet1'!$L$16"}</definedName>
    <definedName name="kshn" localSheetId="13" hidden="1">{"'Sheet1'!$L$16"}</definedName>
    <definedName name="kshn" localSheetId="18" hidden="1">{"'Sheet1'!$L$16"}</definedName>
    <definedName name="kshn" localSheetId="14" hidden="1">{"'Sheet1'!$L$16"}</definedName>
    <definedName name="kshn" localSheetId="15" hidden="1">{"'Sheet1'!$L$16"}</definedName>
    <definedName name="kshn" localSheetId="16" hidden="1">{"'Sheet1'!$L$16"}</definedName>
    <definedName name="kshn" localSheetId="17" hidden="1">{"'Sheet1'!$L$16"}</definedName>
    <definedName name="kshn" localSheetId="0" hidden="1">{"'Sheet1'!$L$16"}</definedName>
    <definedName name="kshn" hidden="1">{"'Sheet1'!$L$16"}</definedName>
    <definedName name="ksls" localSheetId="12" hidden="1">{"'Sheet1'!$L$16"}</definedName>
    <definedName name="ksls" localSheetId="13" hidden="1">{"'Sheet1'!$L$16"}</definedName>
    <definedName name="ksls" localSheetId="18" hidden="1">{"'Sheet1'!$L$16"}</definedName>
    <definedName name="ksls" localSheetId="14" hidden="1">{"'Sheet1'!$L$16"}</definedName>
    <definedName name="ksls" localSheetId="15" hidden="1">{"'Sheet1'!$L$16"}</definedName>
    <definedName name="ksls" localSheetId="16" hidden="1">{"'Sheet1'!$L$16"}</definedName>
    <definedName name="ksls" localSheetId="17" hidden="1">{"'Sheet1'!$L$16"}</definedName>
    <definedName name="ksls" localSheetId="0" hidden="1">{"'Sheet1'!$L$16"}</definedName>
    <definedName name="ksls" hidden="1">{"'Sheet1'!$L$16"}</definedName>
    <definedName name="l" localSheetId="12" hidden="1">{"'Sheet1'!$L$16"}</definedName>
    <definedName name="l" localSheetId="13" hidden="1">{"'Sheet1'!$L$16"}</definedName>
    <definedName name="l" localSheetId="18" hidden="1">{"'Sheet1'!$L$16"}</definedName>
    <definedName name="l" localSheetId="14" hidden="1">{"'Sheet1'!$L$16"}</definedName>
    <definedName name="l" localSheetId="15" hidden="1">{"'Sheet1'!$L$16"}</definedName>
    <definedName name="l" localSheetId="16" hidden="1">{"'Sheet1'!$L$16"}</definedName>
    <definedName name="l" localSheetId="17" hidden="1">{"'Sheet1'!$L$16"}</definedName>
    <definedName name="l" localSheetId="0" hidden="1">{"'Sheet1'!$L$16"}</definedName>
    <definedName name="l" hidden="1">{"'Sheet1'!$L$16"}</definedName>
    <definedName name="L63x6">5800</definedName>
    <definedName name="langson" localSheetId="12" hidden="1">{"'Sheet1'!$L$16"}</definedName>
    <definedName name="langson" localSheetId="13" hidden="1">{"'Sheet1'!$L$16"}</definedName>
    <definedName name="langson" localSheetId="18" hidden="1">{"'Sheet1'!$L$16"}</definedName>
    <definedName name="langson" localSheetId="14" hidden="1">{"'Sheet1'!$L$16"}</definedName>
    <definedName name="langson" localSheetId="15" hidden="1">{"'Sheet1'!$L$16"}</definedName>
    <definedName name="langson" localSheetId="16" hidden="1">{"'Sheet1'!$L$16"}</definedName>
    <definedName name="langson" localSheetId="17" hidden="1">{"'Sheet1'!$L$16"}</definedName>
    <definedName name="langson" localSheetId="0" hidden="1">{"'Sheet1'!$L$16"}</definedName>
    <definedName name="langson" hidden="1">{"'Sheet1'!$L$16"}</definedName>
    <definedName name="LBS_22">107800000</definedName>
    <definedName name="lk" localSheetId="12" hidden="1">#REF!</definedName>
    <definedName name="lk" localSheetId="13" hidden="1">#REF!</definedName>
    <definedName name="lk" localSheetId="18" hidden="1">#REF!</definedName>
    <definedName name="lk" localSheetId="15" hidden="1">#REF!</definedName>
    <definedName name="lk" localSheetId="17" hidden="1">#REF!</definedName>
    <definedName name="lk" localSheetId="9" hidden="1">#REF!</definedName>
    <definedName name="lk" hidden="1">#REF!</definedName>
    <definedName name="m" localSheetId="12" hidden="1">{"'Sheet1'!$L$16"}</definedName>
    <definedName name="m" localSheetId="13" hidden="1">{"'Sheet1'!$L$16"}</definedName>
    <definedName name="m" localSheetId="18" hidden="1">{"'Sheet1'!$L$16"}</definedName>
    <definedName name="m" localSheetId="14" hidden="1">{"'Sheet1'!$L$16"}</definedName>
    <definedName name="m" localSheetId="15" hidden="1">{"'Sheet1'!$L$16"}</definedName>
    <definedName name="m" localSheetId="16" hidden="1">{"'Sheet1'!$L$16"}</definedName>
    <definedName name="m" localSheetId="17" hidden="1">{"'Sheet1'!$L$16"}</definedName>
    <definedName name="m" localSheetId="0" hidden="1">{"'Sheet1'!$L$16"}</definedName>
    <definedName name="m" hidden="1">{"'Sheet1'!$L$16"}</definedName>
    <definedName name="mo" localSheetId="12" hidden="1">{"'Sheet1'!$L$16"}</definedName>
    <definedName name="mo" localSheetId="13" hidden="1">{"'Sheet1'!$L$16"}</definedName>
    <definedName name="mo" localSheetId="18" hidden="1">{"'Sheet1'!$L$16"}</definedName>
    <definedName name="mo" localSheetId="14" hidden="1">{"'Sheet1'!$L$16"}</definedName>
    <definedName name="mo" localSheetId="15" hidden="1">{"'Sheet1'!$L$16"}</definedName>
    <definedName name="mo" localSheetId="16" hidden="1">{"'Sheet1'!$L$16"}</definedName>
    <definedName name="mo" localSheetId="17" hidden="1">{"'Sheet1'!$L$16"}</definedName>
    <definedName name="mo" localSheetId="0" hidden="1">{"'Sheet1'!$L$16"}</definedName>
    <definedName name="mo" hidden="1">{"'Sheet1'!$L$16"}</definedName>
    <definedName name="moi" localSheetId="12" hidden="1">{"'Sheet1'!$L$16"}</definedName>
    <definedName name="moi" localSheetId="13" hidden="1">{"'Sheet1'!$L$16"}</definedName>
    <definedName name="moi" localSheetId="18" hidden="1">{"'Sheet1'!$L$16"}</definedName>
    <definedName name="moi" localSheetId="14" hidden="1">{"'Sheet1'!$L$16"}</definedName>
    <definedName name="moi" localSheetId="15" hidden="1">{"'Sheet1'!$L$16"}</definedName>
    <definedName name="moi" localSheetId="16" hidden="1">{"'Sheet1'!$L$16"}</definedName>
    <definedName name="moi" localSheetId="17" hidden="1">{"'Sheet1'!$L$16"}</definedName>
    <definedName name="moi" localSheetId="0" hidden="1">{"'Sheet1'!$L$16"}</definedName>
    <definedName name="moi" hidden="1">{"'Sheet1'!$L$16"}</definedName>
    <definedName name="n" localSheetId="12" hidden="1">{"'Sheet1'!$L$16"}</definedName>
    <definedName name="n" localSheetId="13" hidden="1">{"'Sheet1'!$L$16"}</definedName>
    <definedName name="n" localSheetId="18" hidden="1">{"'Sheet1'!$L$16"}</definedName>
    <definedName name="n" localSheetId="14" hidden="1">{"'Sheet1'!$L$16"}</definedName>
    <definedName name="n" localSheetId="15" hidden="1">{"'Sheet1'!$L$16"}</definedName>
    <definedName name="n" localSheetId="16" hidden="1">{"'Sheet1'!$L$16"}</definedName>
    <definedName name="n" localSheetId="17" hidden="1">{"'Sheet1'!$L$16"}</definedName>
    <definedName name="n" localSheetId="0" hidden="1">{"'Sheet1'!$L$16"}</definedName>
    <definedName name="n" hidden="1">{"'Sheet1'!$L$16"}</definedName>
    <definedName name="OrderTable" localSheetId="13" hidden="1">#REF!</definedName>
    <definedName name="OrderTable" localSheetId="15" hidden="1">#REF!</definedName>
    <definedName name="OrderTable" localSheetId="17" hidden="1">#REF!</definedName>
    <definedName name="OrderTable" localSheetId="9" hidden="1">#REF!</definedName>
    <definedName name="OrderTable" hidden="1">#REF!</definedName>
    <definedName name="PAIII_" localSheetId="12" hidden="1">{"'Sheet1'!$L$16"}</definedName>
    <definedName name="PAIII_" localSheetId="13" hidden="1">{"'Sheet1'!$L$16"}</definedName>
    <definedName name="PAIII_" localSheetId="18" hidden="1">{"'Sheet1'!$L$16"}</definedName>
    <definedName name="PAIII_" localSheetId="14" hidden="1">{"'Sheet1'!$L$16"}</definedName>
    <definedName name="PAIII_" localSheetId="15" hidden="1">{"'Sheet1'!$L$16"}</definedName>
    <definedName name="PAIII_" localSheetId="16" hidden="1">{"'Sheet1'!$L$16"}</definedName>
    <definedName name="PAIII_" localSheetId="17" hidden="1">{"'Sheet1'!$L$16"}</definedName>
    <definedName name="PAIII_" localSheetId="0" hidden="1">{"'Sheet1'!$L$16"}</definedName>
    <definedName name="PAIII_" hidden="1">{"'Sheet1'!$L$16"}</definedName>
    <definedName name="PMS" localSheetId="12" hidden="1">{"'Sheet1'!$L$16"}</definedName>
    <definedName name="PMS" localSheetId="13" hidden="1">{"'Sheet1'!$L$16"}</definedName>
    <definedName name="PMS" localSheetId="18" hidden="1">{"'Sheet1'!$L$16"}</definedName>
    <definedName name="PMS" localSheetId="14" hidden="1">{"'Sheet1'!$L$16"}</definedName>
    <definedName name="PMS" localSheetId="15" hidden="1">{"'Sheet1'!$L$16"}</definedName>
    <definedName name="PMS" localSheetId="16" hidden="1">{"'Sheet1'!$L$16"}</definedName>
    <definedName name="PMS" localSheetId="17" hidden="1">{"'Sheet1'!$L$16"}</definedName>
    <definedName name="PMS" localSheetId="0" hidden="1">{"'Sheet1'!$L$16"}</definedName>
    <definedName name="PMS" hidden="1">{"'Sheet1'!$L$16"}</definedName>
    <definedName name="_xlnm.Print_Area" localSheetId="1">'1. CĐNS'!$A$1:$AA$62</definedName>
    <definedName name="_xlnm.Print_Area" localSheetId="10">'10. VTXSKT2022'!$A$1:$Q$20</definedName>
    <definedName name="_xlnm.Print_Area" localSheetId="11">'11. Muon ĐPTTH'!$A$1:$M$13</definedName>
    <definedName name="_xlnm.Print_Area" localSheetId="12">'12. NHNN'!$A$1:$N$13</definedName>
    <definedName name="_xlnm.Print_Area" localSheetId="13">'13. VTPCP'!$A$1:$N$14</definedName>
    <definedName name="_xlnm.Print_Area" localSheetId="18">'14. DP TH'!$A$1:$M$49</definedName>
    <definedName name="_xlnm.Print_Area" localSheetId="14">'14. KDSDĐ'!$A$1:$S$13</definedName>
    <definedName name="_xlnm.Print_Area" localSheetId="15">'15. DPNS 2024'!$A$1:$T$13</definedName>
    <definedName name="_xlnm.Print_Area" localSheetId="16">'16. DA ĐB'!$A$1:$J$32</definedName>
    <definedName name="_xlnm.Print_Area" localSheetId="17">'17. KCM chua giao'!$A$1:$G$10</definedName>
    <definedName name="_xlnm.Print_Area" localSheetId="2">'2. SDĐ'!$A$1:$Q$25</definedName>
    <definedName name="_xlnm.Print_Area" localSheetId="3">'3. XSKT'!$A$1:$AA$97</definedName>
    <definedName name="_xlnm.Print_Area" localSheetId="4">'4. ĐƯCTMTQG'!$A$1:$AA$85</definedName>
    <definedName name="_xlnm.Print_Area" localSheetId="5">'5. ĐPTTH'!$A$1:$AA$33</definedName>
    <definedName name="_xlnm.Print_Area" localSheetId="6">'6. XSKT CNT'!$A$1:$S$16</definedName>
    <definedName name="_xlnm.Print_Area" localSheetId="7">'7. Boi chi'!$A$1:$S$13</definedName>
    <definedName name="_xlnm.Print_Area" localSheetId="8">'8.VTXSKT'!$A$1:$S$19</definedName>
    <definedName name="_xlnm.Print_Area" localSheetId="9">'9. KDXSKT2022'!$A$1:$M$13</definedName>
    <definedName name="_xlnm.Print_Area" localSheetId="0">TH!$A$1:$E$65</definedName>
    <definedName name="_xlnm.Print_Titles" localSheetId="1">'1. CĐNS'!$6:$8</definedName>
    <definedName name="_xlnm.Print_Titles" localSheetId="10">'10. VTXSKT2022'!$6:$8</definedName>
    <definedName name="_xlnm.Print_Titles" localSheetId="11">'11. Muon ĐPTTH'!$6:$8</definedName>
    <definedName name="_xlnm.Print_Titles" localSheetId="12">'12. NHNN'!$6:$8</definedName>
    <definedName name="_xlnm.Print_Titles" localSheetId="13">'13. VTPCP'!$6:$8</definedName>
    <definedName name="_xlnm.Print_Titles" localSheetId="18">'14. DP TH'!$6:$8</definedName>
    <definedName name="_xlnm.Print_Titles" localSheetId="14">'14. KDSDĐ'!$6:$8</definedName>
    <definedName name="_xlnm.Print_Titles" localSheetId="15">'15. DPNS 2024'!$6:$8</definedName>
    <definedName name="_xlnm.Print_Titles" localSheetId="16">'16. DA ĐB'!$5:$7</definedName>
    <definedName name="_xlnm.Print_Titles" localSheetId="17">'17. KCM chua giao'!$5:$5</definedName>
    <definedName name="_xlnm.Print_Titles" localSheetId="2">'2. SDĐ'!$6:$8</definedName>
    <definedName name="_xlnm.Print_Titles" localSheetId="3">'3. XSKT'!$6:$8</definedName>
    <definedName name="_xlnm.Print_Titles" localSheetId="4">'4. ĐƯCTMTQG'!$7:$9</definedName>
    <definedName name="_xlnm.Print_Titles" localSheetId="5">'5. ĐPTTH'!$6:$8</definedName>
    <definedName name="_xlnm.Print_Titles" localSheetId="6">'6. XSKT CNT'!$6:$8</definedName>
    <definedName name="_xlnm.Print_Titles" localSheetId="7">'7. Boi chi'!$6:$8</definedName>
    <definedName name="_xlnm.Print_Titles" localSheetId="8">'8.VTXSKT'!$6:$8</definedName>
    <definedName name="_xlnm.Print_Titles" localSheetId="9">'9. KDXSKT2022'!$6:$8</definedName>
    <definedName name="_xlnm.Print_Titles" localSheetId="0">TH!$4:$5</definedName>
    <definedName name="ProdForm" localSheetId="12" hidden="1">#REF!</definedName>
    <definedName name="ProdForm" localSheetId="13" hidden="1">#REF!</definedName>
    <definedName name="ProdForm" localSheetId="18" hidden="1">#REF!</definedName>
    <definedName name="ProdForm" localSheetId="15" hidden="1">#REF!</definedName>
    <definedName name="ProdForm" localSheetId="16" hidden="1">#REF!</definedName>
    <definedName name="ProdForm" localSheetId="17" hidden="1">#REF!</definedName>
    <definedName name="ProdForm" localSheetId="9" hidden="1">#REF!</definedName>
    <definedName name="ProdForm" hidden="1">#REF!</definedName>
    <definedName name="Product" localSheetId="12" hidden="1">#REF!</definedName>
    <definedName name="Product" localSheetId="13" hidden="1">#REF!</definedName>
    <definedName name="Product" localSheetId="18" hidden="1">#REF!</definedName>
    <definedName name="Product" localSheetId="15" hidden="1">#REF!</definedName>
    <definedName name="Product" localSheetId="17" hidden="1">#REF!</definedName>
    <definedName name="Product" localSheetId="9" hidden="1">#REF!</definedName>
    <definedName name="Product" hidden="1">#REF!</definedName>
    <definedName name="rate">14000</definedName>
    <definedName name="RCArea" localSheetId="12" hidden="1">#REF!</definedName>
    <definedName name="RCArea" localSheetId="13" hidden="1">#REF!</definedName>
    <definedName name="RCArea" localSheetId="18" hidden="1">#REF!</definedName>
    <definedName name="RCArea" localSheetId="15" hidden="1">#REF!</definedName>
    <definedName name="RCArea" localSheetId="17" hidden="1">#REF!</definedName>
    <definedName name="RCArea" localSheetId="9" hidden="1">#REF!</definedName>
    <definedName name="RCArea" hidden="1">#REF!</definedName>
    <definedName name="S.dinh">640</definedName>
    <definedName name="Spanner_Auto_File">"C:\My Documents\tinh cdo.x2a"</definedName>
    <definedName name="SpecialPrice" localSheetId="12" hidden="1">#REF!</definedName>
    <definedName name="SpecialPrice" localSheetId="13" hidden="1">#REF!</definedName>
    <definedName name="SpecialPrice" localSheetId="18" hidden="1">#REF!</definedName>
    <definedName name="SpecialPrice" localSheetId="15" hidden="1">#REF!</definedName>
    <definedName name="SpecialPrice" localSheetId="17" hidden="1">#REF!</definedName>
    <definedName name="SpecialPrice" localSheetId="9" hidden="1">#REF!</definedName>
    <definedName name="SpecialPrice" hidden="1">#REF!</definedName>
    <definedName name="t" localSheetId="12" hidden="1">{"'Sheet1'!$L$16"}</definedName>
    <definedName name="t" localSheetId="13" hidden="1">{"'Sheet1'!$L$16"}</definedName>
    <definedName name="t" localSheetId="18" hidden="1">{"'Sheet1'!$L$16"}</definedName>
    <definedName name="t" localSheetId="14" hidden="1">{"'Sheet1'!$L$16"}</definedName>
    <definedName name="t" localSheetId="15" hidden="1">{"'Sheet1'!$L$16"}</definedName>
    <definedName name="t" localSheetId="16" hidden="1">{"'Sheet1'!$L$16"}</definedName>
    <definedName name="t" localSheetId="17" hidden="1">{"'Sheet1'!$L$16"}</definedName>
    <definedName name="t" localSheetId="0" hidden="1">{"'Sheet1'!$L$16"}</definedName>
    <definedName name="t" hidden="1">{"'Sheet1'!$L$16"}</definedName>
    <definedName name="Tang">100</definedName>
    <definedName name="TaxTV">10%</definedName>
    <definedName name="TaxXL">5%</definedName>
    <definedName name="tbl_ProdInfo" localSheetId="12" hidden="1">#REF!</definedName>
    <definedName name="tbl_ProdInfo" localSheetId="13" hidden="1">#REF!</definedName>
    <definedName name="tbl_ProdInfo" localSheetId="18" hidden="1">#REF!</definedName>
    <definedName name="tbl_ProdInfo" localSheetId="15" hidden="1">#REF!</definedName>
    <definedName name="tbl_ProdInfo" localSheetId="17" hidden="1">#REF!</definedName>
    <definedName name="tbl_ProdInfo" localSheetId="9" hidden="1">#REF!</definedName>
    <definedName name="tbl_ProdInfo" hidden="1">#REF!</definedName>
    <definedName name="tha" localSheetId="12" hidden="1">{"'Sheet1'!$L$16"}</definedName>
    <definedName name="tha" localSheetId="13" hidden="1">{"'Sheet1'!$L$16"}</definedName>
    <definedName name="tha" localSheetId="18" hidden="1">{"'Sheet1'!$L$16"}</definedName>
    <definedName name="tha" localSheetId="14" hidden="1">{"'Sheet1'!$L$16"}</definedName>
    <definedName name="tha" localSheetId="15" hidden="1">{"'Sheet1'!$L$16"}</definedName>
    <definedName name="tha" localSheetId="16" hidden="1">{"'Sheet1'!$L$16"}</definedName>
    <definedName name="tha" localSheetId="17" hidden="1">{"'Sheet1'!$L$16"}</definedName>
    <definedName name="tha" localSheetId="0" hidden="1">{"'Sheet1'!$L$16"}</definedName>
    <definedName name="tha" hidden="1">{"'Sheet1'!$L$16"}</definedName>
    <definedName name="thepma">10500</definedName>
    <definedName name="thue">6</definedName>
    <definedName name="Tiepdiama">9500</definedName>
    <definedName name="ttttt" localSheetId="12" hidden="1">{"'Sheet1'!$L$16"}</definedName>
    <definedName name="ttttt" localSheetId="13" hidden="1">{"'Sheet1'!$L$16"}</definedName>
    <definedName name="ttttt" localSheetId="18" hidden="1">{"'Sheet1'!$L$16"}</definedName>
    <definedName name="ttttt" localSheetId="14" hidden="1">{"'Sheet1'!$L$16"}</definedName>
    <definedName name="ttttt" localSheetId="15" hidden="1">{"'Sheet1'!$L$16"}</definedName>
    <definedName name="ttttt" localSheetId="16" hidden="1">{"'Sheet1'!$L$16"}</definedName>
    <definedName name="ttttt" localSheetId="17" hidden="1">{"'Sheet1'!$L$16"}</definedName>
    <definedName name="ttttt" localSheetId="0" hidden="1">{"'Sheet1'!$L$16"}</definedName>
    <definedName name="ttttt" hidden="1">{"'Sheet1'!$L$16"}</definedName>
    <definedName name="TTTTTTTTT" localSheetId="12" hidden="1">{"'Sheet1'!$L$16"}</definedName>
    <definedName name="TTTTTTTTT" localSheetId="13" hidden="1">{"'Sheet1'!$L$16"}</definedName>
    <definedName name="TTTTTTTTT" localSheetId="18" hidden="1">{"'Sheet1'!$L$16"}</definedName>
    <definedName name="TTTTTTTTT" localSheetId="14" hidden="1">{"'Sheet1'!$L$16"}</definedName>
    <definedName name="TTTTTTTTT" localSheetId="15" hidden="1">{"'Sheet1'!$L$16"}</definedName>
    <definedName name="TTTTTTTTT" localSheetId="16" hidden="1">{"'Sheet1'!$L$16"}</definedName>
    <definedName name="TTTTTTTTT" localSheetId="17" hidden="1">{"'Sheet1'!$L$16"}</definedName>
    <definedName name="TTTTTTTTT" localSheetId="0" hidden="1">{"'Sheet1'!$L$16"}</definedName>
    <definedName name="TTTTTTTTT" hidden="1">{"'Sheet1'!$L$16"}</definedName>
    <definedName name="ttttttttttt" localSheetId="12" hidden="1">{"'Sheet1'!$L$16"}</definedName>
    <definedName name="ttttttttttt" localSheetId="13" hidden="1">{"'Sheet1'!$L$16"}</definedName>
    <definedName name="ttttttttttt" localSheetId="18" hidden="1">{"'Sheet1'!$L$16"}</definedName>
    <definedName name="ttttttttttt" localSheetId="14" hidden="1">{"'Sheet1'!$L$16"}</definedName>
    <definedName name="ttttttttttt" localSheetId="15" hidden="1">{"'Sheet1'!$L$16"}</definedName>
    <definedName name="ttttttttttt" localSheetId="16" hidden="1">{"'Sheet1'!$L$16"}</definedName>
    <definedName name="ttttttttttt" localSheetId="17" hidden="1">{"'Sheet1'!$L$16"}</definedName>
    <definedName name="ttttttttttt" localSheetId="0" hidden="1">{"'Sheet1'!$L$16"}</definedName>
    <definedName name="ttttttttttt" hidden="1">{"'Sheet1'!$L$16"}</definedName>
    <definedName name="tuyennhanh" localSheetId="12" hidden="1">{"'Sheet1'!$L$16"}</definedName>
    <definedName name="tuyennhanh" localSheetId="13" hidden="1">{"'Sheet1'!$L$16"}</definedName>
    <definedName name="tuyennhanh" localSheetId="18" hidden="1">{"'Sheet1'!$L$16"}</definedName>
    <definedName name="tuyennhanh" localSheetId="14" hidden="1">{"'Sheet1'!$L$16"}</definedName>
    <definedName name="tuyennhanh" localSheetId="15" hidden="1">{"'Sheet1'!$L$16"}</definedName>
    <definedName name="tuyennhanh" localSheetId="16" hidden="1">{"'Sheet1'!$L$16"}</definedName>
    <definedName name="tuyennhanh" localSheetId="17" hidden="1">{"'Sheet1'!$L$16"}</definedName>
    <definedName name="tuyennhanh" localSheetId="0" hidden="1">{"'Sheet1'!$L$16"}</definedName>
    <definedName name="tuyennhanh" hidden="1">{"'Sheet1'!$L$16"}</definedName>
    <definedName name="u" localSheetId="12" hidden="1">{"'Sheet1'!$L$16"}</definedName>
    <definedName name="u" localSheetId="13" hidden="1">{"'Sheet1'!$L$16"}</definedName>
    <definedName name="u" localSheetId="18" hidden="1">{"'Sheet1'!$L$16"}</definedName>
    <definedName name="u" localSheetId="14" hidden="1">{"'Sheet1'!$L$16"}</definedName>
    <definedName name="u" localSheetId="15" hidden="1">{"'Sheet1'!$L$16"}</definedName>
    <definedName name="u" localSheetId="16" hidden="1">{"'Sheet1'!$L$16"}</definedName>
    <definedName name="u" localSheetId="17" hidden="1">{"'Sheet1'!$L$16"}</definedName>
    <definedName name="u" localSheetId="0" hidden="1">{"'Sheet1'!$L$16"}</definedName>
    <definedName name="u" hidden="1">{"'Sheet1'!$L$16"}</definedName>
    <definedName name="ư" localSheetId="12" hidden="1">{"'Sheet1'!$L$16"}</definedName>
    <definedName name="ư" localSheetId="13" hidden="1">{"'Sheet1'!$L$16"}</definedName>
    <definedName name="ư" localSheetId="18" hidden="1">{"'Sheet1'!$L$16"}</definedName>
    <definedName name="ư" localSheetId="14" hidden="1">{"'Sheet1'!$L$16"}</definedName>
    <definedName name="ư" localSheetId="15" hidden="1">{"'Sheet1'!$L$16"}</definedName>
    <definedName name="ư" localSheetId="16" hidden="1">{"'Sheet1'!$L$16"}</definedName>
    <definedName name="ư" localSheetId="17" hidden="1">{"'Sheet1'!$L$16"}</definedName>
    <definedName name="ư" localSheetId="0" hidden="1">{"'Sheet1'!$L$16"}</definedName>
    <definedName name="ư" hidden="1">{"'Sheet1'!$L$16"}</definedName>
    <definedName name="v" localSheetId="12" hidden="1">{"'Sheet1'!$L$16"}</definedName>
    <definedName name="v" localSheetId="13" hidden="1">{"'Sheet1'!$L$16"}</definedName>
    <definedName name="v" localSheetId="18" hidden="1">{"'Sheet1'!$L$16"}</definedName>
    <definedName name="v" localSheetId="14" hidden="1">{"'Sheet1'!$L$16"}</definedName>
    <definedName name="v" localSheetId="15" hidden="1">{"'Sheet1'!$L$16"}</definedName>
    <definedName name="v" localSheetId="16" hidden="1">{"'Sheet1'!$L$16"}</definedName>
    <definedName name="v" localSheetId="17" hidden="1">{"'Sheet1'!$L$16"}</definedName>
    <definedName name="v" localSheetId="0" hidden="1">{"'Sheet1'!$L$16"}</definedName>
    <definedName name="v" hidden="1">{"'Sheet1'!$L$16"}</definedName>
    <definedName name="VAÄT_LIEÄU">"nhandongia"</definedName>
    <definedName name="vcbo1" localSheetId="12" hidden="1">{"'Sheet1'!$L$16"}</definedName>
    <definedName name="vcbo1" localSheetId="13" hidden="1">{"'Sheet1'!$L$16"}</definedName>
    <definedName name="vcbo1" localSheetId="18" hidden="1">{"'Sheet1'!$L$16"}</definedName>
    <definedName name="vcbo1" localSheetId="14" hidden="1">{"'Sheet1'!$L$16"}</definedName>
    <definedName name="vcbo1" localSheetId="15" hidden="1">{"'Sheet1'!$L$16"}</definedName>
    <definedName name="vcbo1" localSheetId="16" hidden="1">{"'Sheet1'!$L$16"}</definedName>
    <definedName name="vcbo1" localSheetId="17" hidden="1">{"'Sheet1'!$L$16"}</definedName>
    <definedName name="vcbo1" localSheetId="0" hidden="1">{"'Sheet1'!$L$16"}</definedName>
    <definedName name="vcbo1" hidden="1">{"'Sheet1'!$L$16"}</definedName>
    <definedName name="vcoto" localSheetId="12" hidden="1">{"'Sheet1'!$L$16"}</definedName>
    <definedName name="vcoto" localSheetId="13" hidden="1">{"'Sheet1'!$L$16"}</definedName>
    <definedName name="vcoto" localSheetId="18" hidden="1">{"'Sheet1'!$L$16"}</definedName>
    <definedName name="vcoto" localSheetId="14" hidden="1">{"'Sheet1'!$L$16"}</definedName>
    <definedName name="vcoto" localSheetId="15" hidden="1">{"'Sheet1'!$L$16"}</definedName>
    <definedName name="vcoto" localSheetId="16" hidden="1">{"'Sheet1'!$L$16"}</definedName>
    <definedName name="vcoto" localSheetId="17" hidden="1">{"'Sheet1'!$L$16"}</definedName>
    <definedName name="vcoto" localSheetId="0" hidden="1">{"'Sheet1'!$L$16"}</definedName>
    <definedName name="vcoto" hidden="1">{"'Sheet1'!$L$16"}</definedName>
    <definedName name="Viet" localSheetId="12" hidden="1">{"'Sheet1'!$L$16"}</definedName>
    <definedName name="Viet" localSheetId="13" hidden="1">{"'Sheet1'!$L$16"}</definedName>
    <definedName name="Viet" localSheetId="18" hidden="1">{"'Sheet1'!$L$16"}</definedName>
    <definedName name="Viet" localSheetId="14" hidden="1">{"'Sheet1'!$L$16"}</definedName>
    <definedName name="Viet" localSheetId="15" hidden="1">{"'Sheet1'!$L$16"}</definedName>
    <definedName name="Viet" localSheetId="16" hidden="1">{"'Sheet1'!$L$16"}</definedName>
    <definedName name="Viet" localSheetId="17" hidden="1">{"'Sheet1'!$L$16"}</definedName>
    <definedName name="Viet" localSheetId="0" hidden="1">{"'Sheet1'!$L$16"}</definedName>
    <definedName name="Viet" hidden="1">{"'Sheet1'!$L$16"}</definedName>
    <definedName name="WIRE1">5</definedName>
    <definedName name="wrn.aaa." localSheetId="12" hidden="1">{#N/A,#N/A,FALSE,"Sheet1";#N/A,#N/A,FALSE,"Sheet1";#N/A,#N/A,FALSE,"Sheet1"}</definedName>
    <definedName name="wrn.aaa." localSheetId="13" hidden="1">{#N/A,#N/A,FALSE,"Sheet1";#N/A,#N/A,FALSE,"Sheet1";#N/A,#N/A,FALSE,"Sheet1"}</definedName>
    <definedName name="wrn.aaa." localSheetId="18" hidden="1">{#N/A,#N/A,FALSE,"Sheet1";#N/A,#N/A,FALSE,"Sheet1";#N/A,#N/A,FALSE,"Sheet1"}</definedName>
    <definedName name="wrn.aaa." localSheetId="14" hidden="1">{#N/A,#N/A,FALSE,"Sheet1";#N/A,#N/A,FALSE,"Sheet1";#N/A,#N/A,FALSE,"Sheet1"}</definedName>
    <definedName name="wrn.aaa." localSheetId="15" hidden="1">{#N/A,#N/A,FALSE,"Sheet1";#N/A,#N/A,FALSE,"Sheet1";#N/A,#N/A,FALSE,"Sheet1"}</definedName>
    <definedName name="wrn.aaa." localSheetId="16" hidden="1">{#N/A,#N/A,FALSE,"Sheet1";#N/A,#N/A,FALSE,"Sheet1";#N/A,#N/A,FALSE,"Sheet1"}</definedName>
    <definedName name="wrn.aaa." localSheetId="17" hidden="1">{#N/A,#N/A,FALSE,"Sheet1";#N/A,#N/A,FALSE,"Sheet1";#N/A,#N/A,FALSE,"Sheet1"}</definedName>
    <definedName name="wrn.aaa." localSheetId="0" hidden="1">{#N/A,#N/A,FALSE,"Sheet1";#N/A,#N/A,FALSE,"Sheet1";#N/A,#N/A,FALSE,"Sheet1"}</definedName>
    <definedName name="wrn.aaa." hidden="1">{#N/A,#N/A,FALSE,"Sheet1";#N/A,#N/A,FALSE,"Sheet1";#N/A,#N/A,FALSE,"Sheet1"}</definedName>
    <definedName name="wrn.chi._.tiÆt." localSheetId="12" hidden="1">{#N/A,#N/A,FALSE,"Chi tiÆt"}</definedName>
    <definedName name="wrn.chi._.tiÆt." localSheetId="13" hidden="1">{#N/A,#N/A,FALSE,"Chi tiÆt"}</definedName>
    <definedName name="wrn.chi._.tiÆt." localSheetId="18" hidden="1">{#N/A,#N/A,FALSE,"Chi tiÆt"}</definedName>
    <definedName name="wrn.chi._.tiÆt." localSheetId="14" hidden="1">{#N/A,#N/A,FALSE,"Chi tiÆt"}</definedName>
    <definedName name="wrn.chi._.tiÆt." localSheetId="15" hidden="1">{#N/A,#N/A,FALSE,"Chi tiÆt"}</definedName>
    <definedName name="wrn.chi._.tiÆt." localSheetId="16" hidden="1">{#N/A,#N/A,FALSE,"Chi tiÆt"}</definedName>
    <definedName name="wrn.chi._.tiÆt." localSheetId="17" hidden="1">{#N/A,#N/A,FALSE,"Chi tiÆt"}</definedName>
    <definedName name="wrn.chi._.tiÆt." localSheetId="0" hidden="1">{#N/A,#N/A,FALSE,"Chi tiÆt"}</definedName>
    <definedName name="wrn.chi._.tiÆt." hidden="1">{#N/A,#N/A,FALSE,"Chi tiÆt"}</definedName>
    <definedName name="wrn.cong." localSheetId="12" hidden="1">{#N/A,#N/A,FALSE,"Sheet1"}</definedName>
    <definedName name="wrn.cong." localSheetId="13" hidden="1">{#N/A,#N/A,FALSE,"Sheet1"}</definedName>
    <definedName name="wrn.cong." localSheetId="18" hidden="1">{#N/A,#N/A,FALSE,"Sheet1"}</definedName>
    <definedName name="wrn.cong." localSheetId="14" hidden="1">{#N/A,#N/A,FALSE,"Sheet1"}</definedName>
    <definedName name="wrn.cong." localSheetId="15" hidden="1">{#N/A,#N/A,FALSE,"Sheet1"}</definedName>
    <definedName name="wrn.cong." localSheetId="16" hidden="1">{#N/A,#N/A,FALSE,"Sheet1"}</definedName>
    <definedName name="wrn.cong." localSheetId="17" hidden="1">{#N/A,#N/A,FALSE,"Sheet1"}</definedName>
    <definedName name="wrn.cong." localSheetId="0" hidden="1">{#N/A,#N/A,FALSE,"Sheet1"}</definedName>
    <definedName name="wrn.cong." hidden="1">{#N/A,#N/A,FALSE,"Sheet1"}</definedName>
    <definedName name="wrn.Report." localSheetId="12" hidden="1">{"Offgrid",#N/A,FALSE,"OFFGRID";"Region",#N/A,FALSE,"REGION";"Offgrid -2",#N/A,FALSE,"OFFGRID";"WTP",#N/A,FALSE,"WTP";"WTP -2",#N/A,FALSE,"WTP";"Project",#N/A,FALSE,"PROJECT";"Summary -2",#N/A,FALSE,"SUMMARY"}</definedName>
    <definedName name="wrn.Report." localSheetId="13" hidden="1">{"Offgrid",#N/A,FALSE,"OFFGRID";"Region",#N/A,FALSE,"REGION";"Offgrid -2",#N/A,FALSE,"OFFGRID";"WTP",#N/A,FALSE,"WTP";"WTP -2",#N/A,FALSE,"WTP";"Project",#N/A,FALSE,"PROJECT";"Summary -2",#N/A,FALSE,"SUMMARY"}</definedName>
    <definedName name="wrn.Report." localSheetId="18" hidden="1">{"Offgrid",#N/A,FALSE,"OFFGRID";"Region",#N/A,FALSE,"REGION";"Offgrid -2",#N/A,FALSE,"OFFGRID";"WTP",#N/A,FALSE,"WTP";"WTP -2",#N/A,FALSE,"WTP";"Project",#N/A,FALSE,"PROJECT";"Summary -2",#N/A,FALSE,"SUMMARY"}</definedName>
    <definedName name="wrn.Report." localSheetId="14" hidden="1">{"Offgrid",#N/A,FALSE,"OFFGRID";"Region",#N/A,FALSE,"REGION";"Offgrid -2",#N/A,FALSE,"OFFGRID";"WTP",#N/A,FALSE,"WTP";"WTP -2",#N/A,FALSE,"WTP";"Project",#N/A,FALSE,"PROJECT";"Summary -2",#N/A,FALSE,"SUMMARY"}</definedName>
    <definedName name="wrn.Report." localSheetId="15" hidden="1">{"Offgrid",#N/A,FALSE,"OFFGRID";"Region",#N/A,FALSE,"REGION";"Offgrid -2",#N/A,FALSE,"OFFGRID";"WTP",#N/A,FALSE,"WTP";"WTP -2",#N/A,FALSE,"WTP";"Project",#N/A,FALSE,"PROJECT";"Summary -2",#N/A,FALSE,"SUMMARY"}</definedName>
    <definedName name="wrn.Report." localSheetId="16" hidden="1">{"Offgrid",#N/A,FALSE,"OFFGRID";"Region",#N/A,FALSE,"REGION";"Offgrid -2",#N/A,FALSE,"OFFGRID";"WTP",#N/A,FALSE,"WTP";"WTP -2",#N/A,FALSE,"WTP";"Project",#N/A,FALSE,"PROJECT";"Summary -2",#N/A,FALSE,"SUMMARY"}</definedName>
    <definedName name="wrn.Report." localSheetId="17" hidden="1">{"Offgrid",#N/A,FALSE,"OFFGRID";"Region",#N/A,FALSE,"REGION";"Offgrid -2",#N/A,FALSE,"OFFGRID";"WTP",#N/A,FALSE,"WTP";"WTP -2",#N/A,FALSE,"WTP";"Project",#N/A,FALSE,"PROJECT";"Summary -2",#N/A,FALSE,"SUMMARY"}</definedName>
    <definedName name="wrn.Report." localSheetId="0"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vd." localSheetId="12" hidden="1">{#N/A,#N/A,TRUE,"BT M200 da 10x20"}</definedName>
    <definedName name="wrn.vd." localSheetId="13" hidden="1">{#N/A,#N/A,TRUE,"BT M200 da 10x20"}</definedName>
    <definedName name="wrn.vd." localSheetId="18" hidden="1">{#N/A,#N/A,TRUE,"BT M200 da 10x20"}</definedName>
    <definedName name="wrn.vd." localSheetId="14" hidden="1">{#N/A,#N/A,TRUE,"BT M200 da 10x20"}</definedName>
    <definedName name="wrn.vd." localSheetId="15" hidden="1">{#N/A,#N/A,TRUE,"BT M200 da 10x20"}</definedName>
    <definedName name="wrn.vd." localSheetId="16" hidden="1">{#N/A,#N/A,TRUE,"BT M200 da 10x20"}</definedName>
    <definedName name="wrn.vd." localSheetId="17" hidden="1">{#N/A,#N/A,TRUE,"BT M200 da 10x20"}</definedName>
    <definedName name="wrn.vd." localSheetId="0" hidden="1">{#N/A,#N/A,TRUE,"BT M200 da 10x20"}</definedName>
    <definedName name="wrn.vd." hidden="1">{#N/A,#N/A,TRUE,"BT M200 da 10x20"}</definedName>
    <definedName name="wrnf.report" localSheetId="12" hidden="1">{"Offgrid",#N/A,FALSE,"OFFGRID";"Region",#N/A,FALSE,"REGION";"Offgrid -2",#N/A,FALSE,"OFFGRID";"WTP",#N/A,FALSE,"WTP";"WTP -2",#N/A,FALSE,"WTP";"Project",#N/A,FALSE,"PROJECT";"Summary -2",#N/A,FALSE,"SUMMARY"}</definedName>
    <definedName name="wrnf.report" localSheetId="13" hidden="1">{"Offgrid",#N/A,FALSE,"OFFGRID";"Region",#N/A,FALSE,"REGION";"Offgrid -2",#N/A,FALSE,"OFFGRID";"WTP",#N/A,FALSE,"WTP";"WTP -2",#N/A,FALSE,"WTP";"Project",#N/A,FALSE,"PROJECT";"Summary -2",#N/A,FALSE,"SUMMARY"}</definedName>
    <definedName name="wrnf.report" localSheetId="18" hidden="1">{"Offgrid",#N/A,FALSE,"OFFGRID";"Region",#N/A,FALSE,"REGION";"Offgrid -2",#N/A,FALSE,"OFFGRID";"WTP",#N/A,FALSE,"WTP";"WTP -2",#N/A,FALSE,"WTP";"Project",#N/A,FALSE,"PROJECT";"Summary -2",#N/A,FALSE,"SUMMARY"}</definedName>
    <definedName name="wrnf.report" localSheetId="14" hidden="1">{"Offgrid",#N/A,FALSE,"OFFGRID";"Region",#N/A,FALSE,"REGION";"Offgrid -2",#N/A,FALSE,"OFFGRID";"WTP",#N/A,FALSE,"WTP";"WTP -2",#N/A,FALSE,"WTP";"Project",#N/A,FALSE,"PROJECT";"Summary -2",#N/A,FALSE,"SUMMARY"}</definedName>
    <definedName name="wrnf.report" localSheetId="15" hidden="1">{"Offgrid",#N/A,FALSE,"OFFGRID";"Region",#N/A,FALSE,"REGION";"Offgrid -2",#N/A,FALSE,"OFFGRID";"WTP",#N/A,FALSE,"WTP";"WTP -2",#N/A,FALSE,"WTP";"Project",#N/A,FALSE,"PROJECT";"Summary -2",#N/A,FALSE,"SUMMARY"}</definedName>
    <definedName name="wrnf.report" localSheetId="16" hidden="1">{"Offgrid",#N/A,FALSE,"OFFGRID";"Region",#N/A,FALSE,"REGION";"Offgrid -2",#N/A,FALSE,"OFFGRID";"WTP",#N/A,FALSE,"WTP";"WTP -2",#N/A,FALSE,"WTP";"Project",#N/A,FALSE,"PROJECT";"Summary -2",#N/A,FALSE,"SUMMARY"}</definedName>
    <definedName name="wrnf.report" localSheetId="17" hidden="1">{"Offgrid",#N/A,FALSE,"OFFGRID";"Region",#N/A,FALSE,"REGION";"Offgrid -2",#N/A,FALSE,"OFFGRID";"WTP",#N/A,FALSE,"WTP";"WTP -2",#N/A,FALSE,"WTP";"Project",#N/A,FALSE,"PROJECT";"Summary -2",#N/A,FALSE,"SUMMARY"}</definedName>
    <definedName name="wrnf.report" localSheetId="0"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XBCNCKT">5600</definedName>
    <definedName name="XCCT">0.5</definedName>
    <definedName name="xls" localSheetId="12" hidden="1">{"'Sheet1'!$L$16"}</definedName>
    <definedName name="xls" localSheetId="13" hidden="1">{"'Sheet1'!$L$16"}</definedName>
    <definedName name="xls" localSheetId="18" hidden="1">{"'Sheet1'!$L$16"}</definedName>
    <definedName name="xls" localSheetId="14" hidden="1">{"'Sheet1'!$L$16"}</definedName>
    <definedName name="xls" localSheetId="15" hidden="1">{"'Sheet1'!$L$16"}</definedName>
    <definedName name="xls" localSheetId="16" hidden="1">{"'Sheet1'!$L$16"}</definedName>
    <definedName name="xls" localSheetId="17" hidden="1">{"'Sheet1'!$L$16"}</definedName>
    <definedName name="xls" localSheetId="0" hidden="1">{"'Sheet1'!$L$16"}</definedName>
    <definedName name="xls" hidden="1">{"'Sheet1'!$L$16"}</definedName>
    <definedName name="xlttbninh" localSheetId="12" hidden="1">{"'Sheet1'!$L$16"}</definedName>
    <definedName name="xlttbninh" localSheetId="13" hidden="1">{"'Sheet1'!$L$16"}</definedName>
    <definedName name="xlttbninh" localSheetId="18" hidden="1">{"'Sheet1'!$L$16"}</definedName>
    <definedName name="xlttbninh" localSheetId="14" hidden="1">{"'Sheet1'!$L$16"}</definedName>
    <definedName name="xlttbninh" localSheetId="15" hidden="1">{"'Sheet1'!$L$16"}</definedName>
    <definedName name="xlttbninh" localSheetId="16" hidden="1">{"'Sheet1'!$L$16"}</definedName>
    <definedName name="xlttbninh" localSheetId="17" hidden="1">{"'Sheet1'!$L$16"}</definedName>
    <definedName name="xlttbninh" localSheetId="0" hidden="1">{"'Sheet1'!$L$16"}</definedName>
    <definedName name="xlttbninh" hidden="1">{"'Sheet1'!$L$16"}</definedName>
    <definedName name="XTKKTTC">7500</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31" i="11" l="1"/>
  <c r="J35" i="2"/>
  <c r="J27" i="2"/>
  <c r="D14" i="44"/>
  <c r="AB57" i="2"/>
  <c r="H77" i="11"/>
  <c r="Z69" i="11"/>
  <c r="I69" i="11"/>
  <c r="J69" i="11"/>
  <c r="K69" i="11"/>
  <c r="L69" i="11"/>
  <c r="M69" i="11"/>
  <c r="N69" i="11"/>
  <c r="O69" i="11"/>
  <c r="P69" i="11"/>
  <c r="Q69" i="11"/>
  <c r="R69" i="11"/>
  <c r="S69" i="11"/>
  <c r="T69" i="11"/>
  <c r="U69" i="11"/>
  <c r="V69" i="11"/>
  <c r="W69" i="11"/>
  <c r="X69" i="11"/>
  <c r="Y69" i="11"/>
  <c r="H69" i="11"/>
  <c r="I77" i="11"/>
  <c r="J77" i="11"/>
  <c r="K77" i="11"/>
  <c r="L77" i="11"/>
  <c r="M77" i="11"/>
  <c r="N77" i="11"/>
  <c r="O77" i="11"/>
  <c r="P77" i="11"/>
  <c r="Q77" i="11"/>
  <c r="R77" i="11"/>
  <c r="S77" i="11"/>
  <c r="T77" i="11"/>
  <c r="U77" i="11"/>
  <c r="V77" i="11"/>
  <c r="W77" i="11"/>
  <c r="X77" i="11"/>
  <c r="Y77" i="11"/>
  <c r="I52" i="2"/>
  <c r="I47" i="2"/>
  <c r="I21" i="2"/>
  <c r="J23" i="2"/>
  <c r="J22" i="2"/>
  <c r="J21" i="2"/>
  <c r="K21" i="2"/>
  <c r="L21" i="2"/>
  <c r="M21" i="2"/>
  <c r="N21" i="2"/>
  <c r="O21" i="2"/>
  <c r="P21" i="2"/>
  <c r="Q21" i="2"/>
  <c r="R21" i="2"/>
  <c r="S21" i="2"/>
  <c r="T21" i="2"/>
  <c r="U21" i="2"/>
  <c r="V21" i="2"/>
  <c r="W21" i="2"/>
  <c r="X21" i="2"/>
  <c r="Y21" i="2"/>
  <c r="Z21" i="2"/>
  <c r="H52" i="2"/>
  <c r="H47" i="2"/>
  <c r="H21" i="2"/>
  <c r="J47" i="2"/>
  <c r="K47" i="2"/>
  <c r="L47" i="2"/>
  <c r="M47" i="2"/>
  <c r="N47" i="2"/>
  <c r="O47" i="2"/>
  <c r="P47" i="2"/>
  <c r="Q47" i="2"/>
  <c r="R47" i="2"/>
  <c r="S47" i="2"/>
  <c r="T47" i="2"/>
  <c r="U47" i="2"/>
  <c r="V47" i="2"/>
  <c r="W47" i="2"/>
  <c r="X47" i="2"/>
  <c r="Y47" i="2"/>
  <c r="Z47" i="2"/>
  <c r="J59" i="2"/>
  <c r="AG59" i="2"/>
  <c r="AB59" i="2"/>
  <c r="U59" i="2"/>
  <c r="J58" i="2"/>
  <c r="U58" i="2"/>
  <c r="AD58" i="2"/>
  <c r="Y58" i="2"/>
  <c r="X58" i="2"/>
  <c r="W58" i="2"/>
  <c r="V58" i="2"/>
  <c r="T58" i="2"/>
  <c r="S58" i="2"/>
  <c r="R58" i="2"/>
  <c r="Q58" i="2"/>
  <c r="P58" i="2"/>
  <c r="O58" i="2"/>
  <c r="N58" i="2"/>
  <c r="M58" i="2"/>
  <c r="L58" i="2"/>
  <c r="K58" i="2"/>
  <c r="I58" i="2"/>
  <c r="H58" i="2"/>
  <c r="J57" i="2"/>
  <c r="U57" i="2"/>
  <c r="AD57" i="2"/>
  <c r="Y57" i="2"/>
  <c r="X57" i="2"/>
  <c r="W57" i="2"/>
  <c r="V57" i="2"/>
  <c r="T57" i="2"/>
  <c r="S57" i="2"/>
  <c r="R57" i="2"/>
  <c r="Q57" i="2"/>
  <c r="P57" i="2"/>
  <c r="O57" i="2"/>
  <c r="N57" i="2"/>
  <c r="M57" i="2"/>
  <c r="L57" i="2"/>
  <c r="K57" i="2"/>
  <c r="I57" i="2"/>
  <c r="H57" i="2"/>
  <c r="A4" i="2"/>
  <c r="A4" i="3" s="1"/>
  <c r="A4" i="11" s="1"/>
  <c r="A5" i="7" s="1"/>
  <c r="A4" i="1" s="1"/>
  <c r="A4" i="8" s="1"/>
  <c r="A4" i="16" s="1"/>
  <c r="A4" i="20" s="1"/>
  <c r="A4" i="42" s="1"/>
  <c r="A4" i="27" s="1"/>
  <c r="A4" i="29" s="1"/>
  <c r="A4" i="36" s="1"/>
  <c r="A4" i="38" s="1"/>
  <c r="A4" i="34" s="1"/>
  <c r="A4" i="40" s="1"/>
  <c r="A4" i="41" s="1"/>
  <c r="A3" i="43" s="1"/>
  <c r="A3" i="45" s="1"/>
  <c r="D42" i="44"/>
  <c r="J9" i="8"/>
  <c r="K9" i="8"/>
  <c r="L9" i="8"/>
  <c r="M9" i="8"/>
  <c r="N9" i="8"/>
  <c r="O9" i="8"/>
  <c r="P9" i="8"/>
  <c r="Q9" i="8"/>
  <c r="R9" i="8"/>
  <c r="M15" i="8"/>
  <c r="Q14" i="8"/>
  <c r="P14" i="8"/>
  <c r="O14" i="8"/>
  <c r="M14" i="8"/>
  <c r="L14" i="8"/>
  <c r="K14" i="8"/>
  <c r="J14" i="8"/>
  <c r="I14" i="8"/>
  <c r="H14" i="8"/>
  <c r="Q13" i="8"/>
  <c r="P13" i="8"/>
  <c r="O13" i="8"/>
  <c r="N13" i="8"/>
  <c r="M13" i="8"/>
  <c r="L13" i="8"/>
  <c r="K13" i="8"/>
  <c r="J13" i="8"/>
  <c r="I13" i="8"/>
  <c r="I9" i="8" s="1"/>
  <c r="H13" i="8"/>
  <c r="H9" i="8" s="1"/>
  <c r="J76" i="11"/>
  <c r="Z76" i="11"/>
  <c r="D31" i="44"/>
  <c r="I31" i="11"/>
  <c r="I27" i="11"/>
  <c r="I34" i="11"/>
  <c r="I48" i="11"/>
  <c r="I53" i="11"/>
  <c r="I56" i="11"/>
  <c r="I62" i="11"/>
  <c r="I64" i="11"/>
  <c r="I26" i="11"/>
  <c r="I72" i="11"/>
  <c r="I76" i="11"/>
  <c r="I68" i="11"/>
  <c r="I25" i="11"/>
  <c r="J28" i="11"/>
  <c r="J29" i="11"/>
  <c r="J30" i="11"/>
  <c r="K32" i="11"/>
  <c r="J32" i="11"/>
  <c r="J33" i="11"/>
  <c r="J27" i="11"/>
  <c r="J35" i="11"/>
  <c r="J36" i="11"/>
  <c r="J37" i="11"/>
  <c r="J38" i="11"/>
  <c r="J39" i="11"/>
  <c r="J40" i="11"/>
  <c r="J41" i="11"/>
  <c r="J42" i="11"/>
  <c r="J43" i="11"/>
  <c r="J44" i="11"/>
  <c r="J45" i="11"/>
  <c r="J46" i="11"/>
  <c r="J47" i="11"/>
  <c r="J34" i="11"/>
  <c r="J49" i="11"/>
  <c r="J50" i="11"/>
  <c r="J51" i="11"/>
  <c r="J52" i="11"/>
  <c r="J48" i="11"/>
  <c r="J54" i="11"/>
  <c r="J55" i="11"/>
  <c r="J53" i="11"/>
  <c r="K57" i="11"/>
  <c r="J57" i="11"/>
  <c r="J58" i="11"/>
  <c r="J59" i="11"/>
  <c r="J60" i="11"/>
  <c r="J61" i="11"/>
  <c r="J56" i="11"/>
  <c r="K62" i="11"/>
  <c r="L62" i="11"/>
  <c r="M62" i="11"/>
  <c r="N62" i="11"/>
  <c r="O62" i="11"/>
  <c r="P62" i="11"/>
  <c r="Q62" i="11"/>
  <c r="J62" i="11"/>
  <c r="J65" i="11"/>
  <c r="J66" i="11"/>
  <c r="J67" i="11"/>
  <c r="J64" i="11"/>
  <c r="J26" i="11"/>
  <c r="J70" i="11"/>
  <c r="J71" i="11"/>
  <c r="J73" i="11"/>
  <c r="J74" i="11"/>
  <c r="J75" i="11"/>
  <c r="J72" i="11"/>
  <c r="J68" i="11"/>
  <c r="J25" i="11"/>
  <c r="K27" i="11"/>
  <c r="K34" i="11"/>
  <c r="K48" i="11"/>
  <c r="K53" i="11"/>
  <c r="K56" i="11"/>
  <c r="K64" i="11"/>
  <c r="K26" i="11"/>
  <c r="K72" i="11"/>
  <c r="K76" i="11"/>
  <c r="K68" i="11"/>
  <c r="K25" i="11"/>
  <c r="L27" i="11"/>
  <c r="L34" i="11"/>
  <c r="L48" i="11"/>
  <c r="L53" i="11"/>
  <c r="L56" i="11"/>
  <c r="L64" i="11"/>
  <c r="L26" i="11"/>
  <c r="L72" i="11"/>
  <c r="L76" i="11"/>
  <c r="L68" i="11"/>
  <c r="L25" i="11"/>
  <c r="M27" i="11"/>
  <c r="M34" i="11"/>
  <c r="M48" i="11"/>
  <c r="M53" i="11"/>
  <c r="M56" i="11"/>
  <c r="M64" i="11"/>
  <c r="M26" i="11"/>
  <c r="M72" i="11"/>
  <c r="M76" i="11"/>
  <c r="M68" i="11"/>
  <c r="M25" i="11"/>
  <c r="N27" i="11"/>
  <c r="N34" i="11"/>
  <c r="N48" i="11"/>
  <c r="N53" i="11"/>
  <c r="N56" i="11"/>
  <c r="N64" i="11"/>
  <c r="N26" i="11"/>
  <c r="N72" i="11"/>
  <c r="N76" i="11"/>
  <c r="N68" i="11"/>
  <c r="N25" i="11"/>
  <c r="O27" i="11"/>
  <c r="O34" i="11"/>
  <c r="O48" i="11"/>
  <c r="O53" i="11"/>
  <c r="O56" i="11"/>
  <c r="O64" i="11"/>
  <c r="O26" i="11"/>
  <c r="O72" i="11"/>
  <c r="O76" i="11"/>
  <c r="O68" i="11"/>
  <c r="O25" i="11"/>
  <c r="P27" i="11"/>
  <c r="P34" i="11"/>
  <c r="P48" i="11"/>
  <c r="P53" i="11"/>
  <c r="P56" i="11"/>
  <c r="P64" i="11"/>
  <c r="P26" i="11"/>
  <c r="P72" i="11"/>
  <c r="P76" i="11"/>
  <c r="P68" i="11"/>
  <c r="P25" i="11"/>
  <c r="Q27" i="11"/>
  <c r="Q34" i="11"/>
  <c r="Q48" i="11"/>
  <c r="Q53" i="11"/>
  <c r="Q56" i="11"/>
  <c r="Q64" i="11"/>
  <c r="Q26" i="11"/>
  <c r="Q72" i="11"/>
  <c r="Q76" i="11"/>
  <c r="Q68" i="11"/>
  <c r="Q25" i="11"/>
  <c r="R27" i="11"/>
  <c r="R34" i="11"/>
  <c r="R48" i="11"/>
  <c r="R53" i="11"/>
  <c r="R56" i="11"/>
  <c r="R62" i="11"/>
  <c r="R64" i="11"/>
  <c r="R26" i="11"/>
  <c r="R72" i="11"/>
  <c r="R76" i="11"/>
  <c r="R68" i="11"/>
  <c r="R25" i="11"/>
  <c r="S27" i="11"/>
  <c r="S34" i="11"/>
  <c r="S48" i="11"/>
  <c r="S53" i="11"/>
  <c r="S56" i="11"/>
  <c r="S62" i="11"/>
  <c r="S64" i="11"/>
  <c r="S26" i="11"/>
  <c r="S72" i="11"/>
  <c r="S76" i="11"/>
  <c r="S68" i="11"/>
  <c r="S25" i="11"/>
  <c r="T27" i="11"/>
  <c r="T34" i="11"/>
  <c r="T48" i="11"/>
  <c r="T53" i="11"/>
  <c r="T56" i="11"/>
  <c r="T62" i="11"/>
  <c r="T64" i="11"/>
  <c r="T26" i="11"/>
  <c r="T72" i="11"/>
  <c r="T76" i="11"/>
  <c r="T68" i="11"/>
  <c r="T25" i="11"/>
  <c r="U28" i="11"/>
  <c r="U29" i="11"/>
  <c r="U30" i="11"/>
  <c r="U31" i="11"/>
  <c r="U32" i="11"/>
  <c r="W33" i="11"/>
  <c r="U33" i="11"/>
  <c r="U27" i="11"/>
  <c r="U35" i="11"/>
  <c r="U36" i="11"/>
  <c r="U37" i="11"/>
  <c r="U38" i="11"/>
  <c r="U39" i="11"/>
  <c r="U40" i="11"/>
  <c r="U41" i="11"/>
  <c r="U42" i="11"/>
  <c r="U43" i="11"/>
  <c r="U44" i="11"/>
  <c r="U45" i="11"/>
  <c r="U46" i="11"/>
  <c r="U47" i="11"/>
  <c r="U34" i="11"/>
  <c r="U49" i="11"/>
  <c r="U50" i="11"/>
  <c r="U51" i="11"/>
  <c r="U52" i="11"/>
  <c r="U48" i="11"/>
  <c r="U54" i="11"/>
  <c r="U55" i="11"/>
  <c r="U53" i="11"/>
  <c r="U57" i="11"/>
  <c r="U58" i="11"/>
  <c r="U59" i="11"/>
  <c r="U60" i="11"/>
  <c r="U61" i="11"/>
  <c r="U56" i="11"/>
  <c r="U63" i="11"/>
  <c r="U62" i="11"/>
  <c r="U65" i="11"/>
  <c r="U66" i="11"/>
  <c r="U67" i="11"/>
  <c r="U64" i="11"/>
  <c r="U26" i="11"/>
  <c r="U70" i="11"/>
  <c r="U71" i="11"/>
  <c r="U73" i="11"/>
  <c r="U74" i="11"/>
  <c r="U75" i="11"/>
  <c r="U72" i="11"/>
  <c r="U76" i="11"/>
  <c r="U68" i="11"/>
  <c r="U25" i="11"/>
  <c r="V27" i="11"/>
  <c r="V34" i="11"/>
  <c r="V48" i="11"/>
  <c r="V53" i="11"/>
  <c r="V56" i="11"/>
  <c r="V62" i="11"/>
  <c r="V64" i="11"/>
  <c r="V26" i="11"/>
  <c r="V72" i="11"/>
  <c r="V76" i="11"/>
  <c r="V68" i="11"/>
  <c r="V25" i="11"/>
  <c r="W27" i="11"/>
  <c r="W34" i="11"/>
  <c r="W48" i="11"/>
  <c r="W53" i="11"/>
  <c r="W56" i="11"/>
  <c r="W62" i="11"/>
  <c r="W64" i="11"/>
  <c r="W26" i="11"/>
  <c r="W72" i="11"/>
  <c r="W76" i="11"/>
  <c r="W68" i="11"/>
  <c r="W25" i="11"/>
  <c r="X27" i="11"/>
  <c r="X34" i="11"/>
  <c r="X48" i="11"/>
  <c r="X53" i="11"/>
  <c r="X56" i="11"/>
  <c r="X62" i="11"/>
  <c r="X64" i="11"/>
  <c r="X26" i="11"/>
  <c r="X72" i="11"/>
  <c r="X76" i="11"/>
  <c r="X68" i="11"/>
  <c r="X25" i="11"/>
  <c r="Y27" i="11"/>
  <c r="Y34" i="11"/>
  <c r="Y48" i="11"/>
  <c r="Y53" i="11"/>
  <c r="Y56" i="11"/>
  <c r="Y62" i="11"/>
  <c r="Y64" i="11"/>
  <c r="Y26" i="11"/>
  <c r="Y72" i="11"/>
  <c r="Y76" i="11"/>
  <c r="Y68" i="11"/>
  <c r="Y25" i="11"/>
  <c r="Z33" i="11"/>
  <c r="Z27" i="11"/>
  <c r="Z43" i="11"/>
  <c r="Z34" i="11"/>
  <c r="Z48" i="11"/>
  <c r="Z53" i="11"/>
  <c r="Z56" i="11"/>
  <c r="Z62" i="11"/>
  <c r="Z64" i="11"/>
  <c r="Z26" i="11"/>
  <c r="Z72" i="11"/>
  <c r="Z68" i="11"/>
  <c r="Z25" i="11"/>
  <c r="H27" i="11"/>
  <c r="H34" i="11"/>
  <c r="H48" i="11"/>
  <c r="H53" i="11"/>
  <c r="H56" i="11"/>
  <c r="H62" i="11"/>
  <c r="H64" i="11"/>
  <c r="H26" i="11"/>
  <c r="H72" i="11"/>
  <c r="H76" i="11"/>
  <c r="H68" i="11"/>
  <c r="H25" i="11"/>
  <c r="A79" i="11"/>
  <c r="A71" i="11"/>
  <c r="A80" i="11"/>
  <c r="S11" i="41"/>
  <c r="S10" i="41"/>
  <c r="S9" i="41"/>
  <c r="R11" i="41"/>
  <c r="I25" i="2"/>
  <c r="I27" i="2"/>
  <c r="I23" i="2"/>
  <c r="I37" i="2"/>
  <c r="I36" i="2"/>
  <c r="I38" i="2"/>
  <c r="I41" i="2"/>
  <c r="I45" i="2"/>
  <c r="I22" i="2"/>
  <c r="I48" i="2"/>
  <c r="J24" i="2"/>
  <c r="J25" i="2"/>
  <c r="J26" i="2"/>
  <c r="J28" i="2"/>
  <c r="J29" i="2"/>
  <c r="J30" i="2"/>
  <c r="J31" i="2"/>
  <c r="J32" i="2"/>
  <c r="J33" i="2"/>
  <c r="J34" i="2"/>
  <c r="J37" i="2"/>
  <c r="J36" i="2"/>
  <c r="J39" i="2"/>
  <c r="J40" i="2"/>
  <c r="J38" i="2"/>
  <c r="J42" i="2"/>
  <c r="J43" i="2"/>
  <c r="J44" i="2"/>
  <c r="J41" i="2"/>
  <c r="J46" i="2"/>
  <c r="J45" i="2"/>
  <c r="J49" i="2"/>
  <c r="J50" i="2"/>
  <c r="J51" i="2"/>
  <c r="J48" i="2"/>
  <c r="J53" i="2"/>
  <c r="J54" i="2"/>
  <c r="J55" i="2"/>
  <c r="J56" i="2"/>
  <c r="J52" i="2"/>
  <c r="K23" i="2"/>
  <c r="K36" i="2"/>
  <c r="K38" i="2"/>
  <c r="K41" i="2"/>
  <c r="K45" i="2"/>
  <c r="K22" i="2"/>
  <c r="K48" i="2"/>
  <c r="K52" i="2"/>
  <c r="L23" i="2"/>
  <c r="L36" i="2"/>
  <c r="L38" i="2"/>
  <c r="L41" i="2"/>
  <c r="L45" i="2"/>
  <c r="L22" i="2"/>
  <c r="L48" i="2"/>
  <c r="L52" i="2"/>
  <c r="M23" i="2"/>
  <c r="M36" i="2"/>
  <c r="M38" i="2"/>
  <c r="M41" i="2"/>
  <c r="M45" i="2"/>
  <c r="M22" i="2"/>
  <c r="M48" i="2"/>
  <c r="M52" i="2"/>
  <c r="N23" i="2"/>
  <c r="N36" i="2"/>
  <c r="N38" i="2"/>
  <c r="N41" i="2"/>
  <c r="N45" i="2"/>
  <c r="N22" i="2"/>
  <c r="N48" i="2"/>
  <c r="N52" i="2"/>
  <c r="O23" i="2"/>
  <c r="O36" i="2"/>
  <c r="O38" i="2"/>
  <c r="O41" i="2"/>
  <c r="O45" i="2"/>
  <c r="O22" i="2"/>
  <c r="O48" i="2"/>
  <c r="O52" i="2"/>
  <c r="P23" i="2"/>
  <c r="P36" i="2"/>
  <c r="P38" i="2"/>
  <c r="P41" i="2"/>
  <c r="P45" i="2"/>
  <c r="P22" i="2"/>
  <c r="P48" i="2"/>
  <c r="P52" i="2"/>
  <c r="Q23" i="2"/>
  <c r="Q36" i="2"/>
  <c r="Q38" i="2"/>
  <c r="Q41" i="2"/>
  <c r="Q45" i="2"/>
  <c r="Q22" i="2"/>
  <c r="Q48" i="2"/>
  <c r="Q52" i="2"/>
  <c r="R23" i="2"/>
  <c r="R36" i="2"/>
  <c r="R38" i="2"/>
  <c r="R41" i="2"/>
  <c r="R45" i="2"/>
  <c r="R22" i="2"/>
  <c r="R48" i="2"/>
  <c r="R52" i="2"/>
  <c r="S23" i="2"/>
  <c r="S36" i="2"/>
  <c r="S38" i="2"/>
  <c r="S41" i="2"/>
  <c r="S45" i="2"/>
  <c r="S22" i="2"/>
  <c r="S48" i="2"/>
  <c r="S52" i="2"/>
  <c r="T23" i="2"/>
  <c r="T36" i="2"/>
  <c r="T38" i="2"/>
  <c r="T41" i="2"/>
  <c r="T45" i="2"/>
  <c r="T22" i="2"/>
  <c r="T48" i="2"/>
  <c r="T52" i="2"/>
  <c r="U24" i="2"/>
  <c r="U25" i="2"/>
  <c r="U26" i="2"/>
  <c r="U27" i="2"/>
  <c r="U28" i="2"/>
  <c r="U29" i="2"/>
  <c r="U30" i="2"/>
  <c r="U31" i="2"/>
  <c r="U32" i="2"/>
  <c r="U33" i="2"/>
  <c r="U34" i="2"/>
  <c r="U35" i="2"/>
  <c r="U23" i="2"/>
  <c r="U37" i="2"/>
  <c r="U36" i="2"/>
  <c r="U39" i="2"/>
  <c r="U40" i="2"/>
  <c r="U38" i="2"/>
  <c r="U42" i="2"/>
  <c r="U43" i="2"/>
  <c r="U44" i="2"/>
  <c r="U41" i="2"/>
  <c r="U46" i="2"/>
  <c r="U45" i="2"/>
  <c r="U22" i="2"/>
  <c r="U49" i="2"/>
  <c r="U50" i="2"/>
  <c r="U51" i="2"/>
  <c r="U48" i="2"/>
  <c r="U53" i="2"/>
  <c r="U54" i="2"/>
  <c r="U55" i="2"/>
  <c r="U56" i="2"/>
  <c r="U52" i="2"/>
  <c r="V23" i="2"/>
  <c r="V36" i="2"/>
  <c r="V38" i="2"/>
  <c r="V41" i="2"/>
  <c r="V45" i="2"/>
  <c r="V22" i="2"/>
  <c r="V48" i="2"/>
  <c r="V52" i="2"/>
  <c r="W23" i="2"/>
  <c r="W36" i="2"/>
  <c r="W38" i="2"/>
  <c r="W41" i="2"/>
  <c r="W45" i="2"/>
  <c r="W22" i="2"/>
  <c r="W48" i="2"/>
  <c r="W52" i="2"/>
  <c r="X23" i="2"/>
  <c r="X36" i="2"/>
  <c r="X38" i="2"/>
  <c r="X41" i="2"/>
  <c r="X45" i="2"/>
  <c r="X22" i="2"/>
  <c r="X48" i="2"/>
  <c r="X52" i="2"/>
  <c r="Y23" i="2"/>
  <c r="Y36" i="2"/>
  <c r="Y38" i="2"/>
  <c r="Y41" i="2"/>
  <c r="Y45" i="2"/>
  <c r="Y22" i="2"/>
  <c r="Y48" i="2"/>
  <c r="Y52" i="2"/>
  <c r="Z23" i="2"/>
  <c r="Z36" i="2"/>
  <c r="Z38" i="2"/>
  <c r="Z41" i="2"/>
  <c r="Z45" i="2"/>
  <c r="Z22" i="2"/>
  <c r="Z48" i="2"/>
  <c r="Z52" i="2"/>
  <c r="H23" i="2"/>
  <c r="H36" i="2"/>
  <c r="H38" i="2"/>
  <c r="H41" i="2"/>
  <c r="H45" i="2"/>
  <c r="H22" i="2"/>
  <c r="H48" i="2"/>
  <c r="H10" i="11"/>
  <c r="H23" i="11"/>
  <c r="H19" i="11"/>
  <c r="H92" i="11"/>
  <c r="H91" i="11"/>
  <c r="H90" i="11"/>
  <c r="H9" i="11"/>
  <c r="I10" i="11"/>
  <c r="I23" i="11"/>
  <c r="I19" i="11"/>
  <c r="I92" i="11"/>
  <c r="I91" i="11"/>
  <c r="I90" i="11"/>
  <c r="I9" i="11"/>
  <c r="J11" i="11"/>
  <c r="J12" i="11"/>
  <c r="J13" i="11"/>
  <c r="J14" i="11"/>
  <c r="J15" i="11"/>
  <c r="J16" i="11"/>
  <c r="J17" i="11"/>
  <c r="J18" i="11"/>
  <c r="J10" i="11"/>
  <c r="J20" i="11"/>
  <c r="J21" i="11"/>
  <c r="J22" i="11"/>
  <c r="J24" i="11"/>
  <c r="J23" i="11"/>
  <c r="J82" i="11"/>
  <c r="J81" i="11"/>
  <c r="J83" i="11"/>
  <c r="J19" i="11"/>
  <c r="J89" i="11"/>
  <c r="J93" i="11"/>
  <c r="J94" i="11"/>
  <c r="J95" i="11"/>
  <c r="J96" i="11"/>
  <c r="J92" i="11"/>
  <c r="J91" i="11"/>
  <c r="J90" i="11"/>
  <c r="J9" i="11"/>
  <c r="K10" i="11"/>
  <c r="K22" i="11"/>
  <c r="K23" i="11"/>
  <c r="K81" i="11"/>
  <c r="K19" i="11"/>
  <c r="K92" i="11"/>
  <c r="K91" i="11"/>
  <c r="K90" i="11"/>
  <c r="K9" i="11"/>
  <c r="L10" i="11"/>
  <c r="L22" i="11"/>
  <c r="L23" i="11"/>
  <c r="L19" i="11"/>
  <c r="L92" i="11"/>
  <c r="L91" i="11"/>
  <c r="L90" i="11"/>
  <c r="L9" i="11"/>
  <c r="M10" i="11"/>
  <c r="M22" i="11"/>
  <c r="M23" i="11"/>
  <c r="M19" i="11"/>
  <c r="M92" i="11"/>
  <c r="M91" i="11"/>
  <c r="M90" i="11"/>
  <c r="M9" i="11"/>
  <c r="N10" i="11"/>
  <c r="N22" i="11"/>
  <c r="N23" i="11"/>
  <c r="N19" i="11"/>
  <c r="N92" i="11"/>
  <c r="N91" i="11"/>
  <c r="N90" i="11"/>
  <c r="N9" i="11"/>
  <c r="O10" i="11"/>
  <c r="O22" i="11"/>
  <c r="O23" i="11"/>
  <c r="O19" i="11"/>
  <c r="O92" i="11"/>
  <c r="O91" i="11"/>
  <c r="O90" i="11"/>
  <c r="O9" i="11"/>
  <c r="P10" i="11"/>
  <c r="P22" i="11"/>
  <c r="P23" i="11"/>
  <c r="P19" i="11"/>
  <c r="P92" i="11"/>
  <c r="P91" i="11"/>
  <c r="P90" i="11"/>
  <c r="P9" i="11"/>
  <c r="Q10" i="11"/>
  <c r="Q22" i="11"/>
  <c r="Q23" i="11"/>
  <c r="Q19" i="11"/>
  <c r="Q92" i="11"/>
  <c r="Q91" i="11"/>
  <c r="Q90" i="11"/>
  <c r="Q9" i="11"/>
  <c r="R10" i="11"/>
  <c r="R22" i="11"/>
  <c r="R23" i="11"/>
  <c r="R19" i="11"/>
  <c r="R92" i="11"/>
  <c r="R91" i="11"/>
  <c r="R90" i="11"/>
  <c r="R9" i="11"/>
  <c r="S10" i="11"/>
  <c r="S22" i="11"/>
  <c r="S23" i="11"/>
  <c r="S19" i="11"/>
  <c r="S92" i="11"/>
  <c r="S91" i="11"/>
  <c r="S90" i="11"/>
  <c r="S9" i="11"/>
  <c r="T10" i="11"/>
  <c r="T22" i="11"/>
  <c r="T23" i="11"/>
  <c r="T19" i="11"/>
  <c r="T92" i="11"/>
  <c r="T91" i="11"/>
  <c r="T90" i="11"/>
  <c r="T9" i="11"/>
  <c r="U11" i="11"/>
  <c r="U12" i="11"/>
  <c r="U13" i="11"/>
  <c r="U14" i="11"/>
  <c r="U15" i="11"/>
  <c r="U16" i="11"/>
  <c r="U17" i="11"/>
  <c r="U18" i="11"/>
  <c r="U10" i="11"/>
  <c r="U20" i="11"/>
  <c r="U21" i="11"/>
  <c r="U22" i="11"/>
  <c r="U24" i="11"/>
  <c r="U23" i="11"/>
  <c r="U82" i="11"/>
  <c r="U81" i="11"/>
  <c r="U19" i="11"/>
  <c r="U89" i="11"/>
  <c r="U93" i="11"/>
  <c r="U94" i="11"/>
  <c r="U95" i="11"/>
  <c r="U96" i="11"/>
  <c r="U92" i="11"/>
  <c r="U91" i="11"/>
  <c r="U90" i="11"/>
  <c r="U9" i="11"/>
  <c r="V22" i="11"/>
  <c r="V23" i="11"/>
  <c r="V81" i="11"/>
  <c r="V19" i="11"/>
  <c r="V92" i="11"/>
  <c r="V91" i="11"/>
  <c r="V90" i="11"/>
  <c r="V9" i="11"/>
  <c r="W10" i="11"/>
  <c r="W22" i="11"/>
  <c r="W23" i="11"/>
  <c r="W81" i="11"/>
  <c r="W19" i="11"/>
  <c r="W92" i="11"/>
  <c r="W91" i="11"/>
  <c r="W90" i="11"/>
  <c r="W9" i="11"/>
  <c r="X10" i="11"/>
  <c r="X22" i="11"/>
  <c r="X23" i="11"/>
  <c r="X81" i="11"/>
  <c r="X19" i="11"/>
  <c r="X92" i="11"/>
  <c r="X91" i="11"/>
  <c r="X90" i="11"/>
  <c r="X9" i="11"/>
  <c r="Y10" i="11"/>
  <c r="Y22" i="11"/>
  <c r="Y23" i="11"/>
  <c r="Y81" i="11"/>
  <c r="Y19" i="11"/>
  <c r="Y92" i="11"/>
  <c r="Y91" i="11"/>
  <c r="Y90" i="11"/>
  <c r="Y9" i="11"/>
  <c r="Z10" i="11"/>
  <c r="Z20" i="11"/>
  <c r="Z22" i="11"/>
  <c r="Z23" i="11"/>
  <c r="Z81" i="11"/>
  <c r="Z83" i="11"/>
  <c r="Z19" i="11"/>
  <c r="Z92" i="11"/>
  <c r="Z91" i="11"/>
  <c r="Z90" i="11"/>
  <c r="Z9" i="11"/>
  <c r="G10" i="11"/>
  <c r="G9" i="11"/>
  <c r="AB9" i="11"/>
  <c r="I10" i="2"/>
  <c r="I19" i="2"/>
  <c r="I9" i="2"/>
  <c r="K11" i="2"/>
  <c r="J11" i="2"/>
  <c r="K12" i="2"/>
  <c r="J12" i="2"/>
  <c r="K13" i="2"/>
  <c r="J13" i="2"/>
  <c r="K14" i="2"/>
  <c r="J14" i="2"/>
  <c r="K15" i="2"/>
  <c r="J15" i="2"/>
  <c r="K16" i="2"/>
  <c r="J16" i="2"/>
  <c r="K17" i="2"/>
  <c r="J17" i="2"/>
  <c r="K18" i="2"/>
  <c r="J18" i="2"/>
  <c r="J10" i="2"/>
  <c r="J20" i="2"/>
  <c r="J19" i="2"/>
  <c r="J9" i="2"/>
  <c r="K10" i="2"/>
  <c r="K19" i="2"/>
  <c r="K9" i="2"/>
  <c r="L10" i="2"/>
  <c r="L19" i="2"/>
  <c r="L9" i="2"/>
  <c r="M10" i="2"/>
  <c r="M19" i="2"/>
  <c r="M9" i="2"/>
  <c r="N10" i="2"/>
  <c r="N19" i="2"/>
  <c r="N9" i="2"/>
  <c r="O10" i="2"/>
  <c r="O19" i="2"/>
  <c r="O9" i="2"/>
  <c r="P10" i="2"/>
  <c r="P19" i="2"/>
  <c r="P9" i="2"/>
  <c r="Q10" i="2"/>
  <c r="Q19" i="2"/>
  <c r="Q9" i="2"/>
  <c r="R10" i="2"/>
  <c r="R19" i="2"/>
  <c r="R9" i="2"/>
  <c r="S10" i="2"/>
  <c r="S19" i="2"/>
  <c r="S9" i="2"/>
  <c r="T10" i="2"/>
  <c r="T19" i="2"/>
  <c r="T9" i="2"/>
  <c r="U11" i="2"/>
  <c r="U12" i="2"/>
  <c r="U13" i="2"/>
  <c r="U14" i="2"/>
  <c r="U15" i="2"/>
  <c r="U16" i="2"/>
  <c r="U17" i="2"/>
  <c r="U18" i="2"/>
  <c r="U10" i="2"/>
  <c r="X20" i="2"/>
  <c r="U20" i="2"/>
  <c r="U19" i="2"/>
  <c r="U9" i="2"/>
  <c r="V10" i="2"/>
  <c r="V19" i="2"/>
  <c r="V9" i="2"/>
  <c r="W10" i="2"/>
  <c r="W19" i="2"/>
  <c r="W9" i="2"/>
  <c r="X10" i="2"/>
  <c r="X19" i="2"/>
  <c r="X9" i="2"/>
  <c r="Y10" i="2"/>
  <c r="Y19" i="2"/>
  <c r="Y9" i="2"/>
  <c r="Z10" i="2"/>
  <c r="Z19" i="2"/>
  <c r="Z9" i="2"/>
  <c r="H10" i="2"/>
  <c r="H19" i="2"/>
  <c r="H9" i="2"/>
  <c r="Z74" i="7"/>
  <c r="Z69" i="7"/>
  <c r="Z64" i="7"/>
  <c r="Z48" i="7"/>
  <c r="Z10" i="7"/>
  <c r="AC10" i="7"/>
  <c r="I10" i="7"/>
  <c r="J10" i="7"/>
  <c r="K10" i="7"/>
  <c r="L10" i="7"/>
  <c r="M10" i="7"/>
  <c r="N10" i="7"/>
  <c r="O10" i="7"/>
  <c r="P10" i="7"/>
  <c r="Q10" i="7"/>
  <c r="R10" i="7"/>
  <c r="S10" i="7"/>
  <c r="T10" i="7"/>
  <c r="U10" i="7"/>
  <c r="V10" i="7"/>
  <c r="W10" i="7"/>
  <c r="X10" i="7"/>
  <c r="Y10" i="7"/>
  <c r="H10" i="7"/>
  <c r="H69" i="7"/>
  <c r="I70" i="7"/>
  <c r="I72" i="7"/>
  <c r="I74" i="7"/>
  <c r="I69" i="7"/>
  <c r="J71" i="7"/>
  <c r="J70" i="7"/>
  <c r="J73" i="7"/>
  <c r="J72" i="7"/>
  <c r="J75" i="7"/>
  <c r="J74" i="7"/>
  <c r="J69" i="7"/>
  <c r="K70" i="7"/>
  <c r="K72" i="7"/>
  <c r="K74" i="7"/>
  <c r="K69" i="7"/>
  <c r="L70" i="7"/>
  <c r="L72" i="7"/>
  <c r="L74" i="7"/>
  <c r="L69" i="7"/>
  <c r="M70" i="7"/>
  <c r="M72" i="7"/>
  <c r="M74" i="7"/>
  <c r="M69" i="7"/>
  <c r="N70" i="7"/>
  <c r="N72" i="7"/>
  <c r="N74" i="7"/>
  <c r="N69" i="7"/>
  <c r="O70" i="7"/>
  <c r="O72" i="7"/>
  <c r="O74" i="7"/>
  <c r="O69" i="7"/>
  <c r="P70" i="7"/>
  <c r="P72" i="7"/>
  <c r="P74" i="7"/>
  <c r="P69" i="7"/>
  <c r="Q70" i="7"/>
  <c r="Q72" i="7"/>
  <c r="Q74" i="7"/>
  <c r="Q69" i="7"/>
  <c r="R70" i="7"/>
  <c r="R72" i="7"/>
  <c r="R74" i="7"/>
  <c r="R69" i="7"/>
  <c r="S70" i="7"/>
  <c r="S72" i="7"/>
  <c r="S74" i="7"/>
  <c r="S69" i="7"/>
  <c r="T70" i="7"/>
  <c r="T72" i="7"/>
  <c r="T74" i="7"/>
  <c r="T69" i="7"/>
  <c r="U71" i="7"/>
  <c r="U70" i="7"/>
  <c r="U73" i="7"/>
  <c r="U72" i="7"/>
  <c r="U75" i="7"/>
  <c r="U74" i="7"/>
  <c r="U69" i="7"/>
  <c r="V70" i="7"/>
  <c r="V72" i="7"/>
  <c r="V74" i="7"/>
  <c r="V69" i="7"/>
  <c r="W70" i="7"/>
  <c r="W72" i="7"/>
  <c r="W74" i="7"/>
  <c r="W69" i="7"/>
  <c r="X70" i="7"/>
  <c r="X72" i="7"/>
  <c r="X74" i="7"/>
  <c r="X69" i="7"/>
  <c r="Y70" i="7"/>
  <c r="Y72" i="7"/>
  <c r="Y74" i="7"/>
  <c r="Y69" i="7"/>
  <c r="Z70" i="7"/>
  <c r="Z72" i="7"/>
  <c r="H70" i="7"/>
  <c r="H72" i="7"/>
  <c r="H74" i="7"/>
  <c r="H17" i="27"/>
  <c r="I17" i="27"/>
  <c r="J17" i="27"/>
  <c r="K17" i="27"/>
  <c r="L17" i="27"/>
  <c r="M17" i="27"/>
  <c r="N17" i="27"/>
  <c r="O17" i="27"/>
  <c r="P17" i="27"/>
  <c r="Z82" i="7"/>
  <c r="Z81" i="7"/>
  <c r="Z80" i="7"/>
  <c r="H82" i="7"/>
  <c r="H81" i="7"/>
  <c r="H80" i="7"/>
  <c r="I82" i="7"/>
  <c r="I81" i="7"/>
  <c r="I80" i="7"/>
  <c r="J83" i="7"/>
  <c r="J84" i="7"/>
  <c r="J82" i="7"/>
  <c r="J81" i="7"/>
  <c r="J80" i="7"/>
  <c r="K82" i="7"/>
  <c r="K81" i="7"/>
  <c r="K80" i="7"/>
  <c r="L82" i="7"/>
  <c r="L81" i="7"/>
  <c r="L80" i="7"/>
  <c r="M82" i="7"/>
  <c r="M81" i="7"/>
  <c r="M80" i="7"/>
  <c r="N82" i="7"/>
  <c r="N81" i="7"/>
  <c r="N80" i="7"/>
  <c r="O82" i="7"/>
  <c r="O81" i="7"/>
  <c r="O80" i="7"/>
  <c r="P82" i="7"/>
  <c r="P81" i="7"/>
  <c r="P80" i="7"/>
  <c r="Q82" i="7"/>
  <c r="Q81" i="7"/>
  <c r="Q80" i="7"/>
  <c r="R82" i="7"/>
  <c r="R81" i="7"/>
  <c r="R80" i="7"/>
  <c r="S82" i="7"/>
  <c r="S81" i="7"/>
  <c r="S80" i="7"/>
  <c r="T82" i="7"/>
  <c r="T81" i="7"/>
  <c r="T80" i="7"/>
  <c r="U83" i="7"/>
  <c r="U84" i="7"/>
  <c r="U82" i="7"/>
  <c r="U81" i="7"/>
  <c r="U80" i="7"/>
  <c r="V82" i="7"/>
  <c r="V81" i="7"/>
  <c r="V80" i="7"/>
  <c r="W82" i="7"/>
  <c r="W81" i="7"/>
  <c r="W80" i="7"/>
  <c r="X82" i="7"/>
  <c r="X81" i="7"/>
  <c r="X80" i="7"/>
  <c r="Y82" i="7"/>
  <c r="Y81" i="7"/>
  <c r="Y80" i="7"/>
  <c r="D39" i="44"/>
  <c r="D38" i="44"/>
  <c r="Z24" i="1"/>
  <c r="I11" i="1"/>
  <c r="I10" i="1"/>
  <c r="I9" i="1"/>
  <c r="J11" i="1"/>
  <c r="J10" i="1"/>
  <c r="J9" i="1"/>
  <c r="K11" i="1"/>
  <c r="L11" i="1"/>
  <c r="M11" i="1"/>
  <c r="N11" i="1"/>
  <c r="O11" i="1"/>
  <c r="P11" i="1"/>
  <c r="Q11" i="1"/>
  <c r="R11" i="1"/>
  <c r="S11" i="1"/>
  <c r="T11" i="1"/>
  <c r="U11" i="1"/>
  <c r="V11" i="1"/>
  <c r="V10" i="1"/>
  <c r="V9" i="1"/>
  <c r="W11" i="1"/>
  <c r="X11" i="1"/>
  <c r="X10" i="1"/>
  <c r="X9" i="1"/>
  <c r="Y11" i="1"/>
  <c r="Z11" i="1"/>
  <c r="H11" i="1"/>
  <c r="H10" i="1"/>
  <c r="H23" i="1"/>
  <c r="H22" i="1"/>
  <c r="H9" i="1"/>
  <c r="K9" i="1"/>
  <c r="M9" i="1"/>
  <c r="N9" i="1"/>
  <c r="O9" i="1"/>
  <c r="K10" i="1"/>
  <c r="L10" i="1"/>
  <c r="L9" i="1"/>
  <c r="M10" i="1"/>
  <c r="N10" i="1"/>
  <c r="O10" i="1"/>
  <c r="P10" i="1"/>
  <c r="P9" i="1"/>
  <c r="Q10" i="1"/>
  <c r="Q9" i="1"/>
  <c r="R10" i="1"/>
  <c r="R9" i="1"/>
  <c r="S10" i="1"/>
  <c r="S9" i="1"/>
  <c r="T10" i="1"/>
  <c r="T9" i="1"/>
  <c r="W10" i="1"/>
  <c r="W9" i="1"/>
  <c r="Y10" i="1"/>
  <c r="Y23" i="1"/>
  <c r="Y22" i="1"/>
  <c r="Y9" i="1"/>
  <c r="Z10" i="1"/>
  <c r="A25" i="1"/>
  <c r="A26" i="1"/>
  <c r="A27" i="1"/>
  <c r="W32" i="1"/>
  <c r="U32" i="1"/>
  <c r="J32" i="1"/>
  <c r="AG32" i="1"/>
  <c r="Z31" i="1"/>
  <c r="Y31" i="1"/>
  <c r="X31" i="1"/>
  <c r="V31" i="1"/>
  <c r="T31" i="1"/>
  <c r="S31" i="1"/>
  <c r="R31" i="1"/>
  <c r="Q31" i="1"/>
  <c r="P31" i="1"/>
  <c r="O31" i="1"/>
  <c r="N31" i="1"/>
  <c r="M31" i="1"/>
  <c r="L31" i="1"/>
  <c r="K31" i="1"/>
  <c r="I31" i="1"/>
  <c r="H31" i="1"/>
  <c r="U30" i="1"/>
  <c r="J30" i="1"/>
  <c r="AH30" i="1"/>
  <c r="U29" i="1"/>
  <c r="J29" i="1"/>
  <c r="Z28" i="1"/>
  <c r="Y28" i="1"/>
  <c r="X28" i="1"/>
  <c r="W28" i="1"/>
  <c r="V28" i="1"/>
  <c r="T28" i="1"/>
  <c r="S28" i="1"/>
  <c r="R28" i="1"/>
  <c r="Q28" i="1"/>
  <c r="P28" i="1"/>
  <c r="O28" i="1"/>
  <c r="N28" i="1"/>
  <c r="M28" i="1"/>
  <c r="L28" i="1"/>
  <c r="I28" i="1"/>
  <c r="H28" i="1"/>
  <c r="U27" i="1"/>
  <c r="J27" i="1"/>
  <c r="U26" i="1"/>
  <c r="J26" i="1"/>
  <c r="U25" i="1"/>
  <c r="J25" i="1"/>
  <c r="K23" i="1"/>
  <c r="U24" i="1"/>
  <c r="J24" i="1"/>
  <c r="AG24" i="1"/>
  <c r="AZ23" i="1"/>
  <c r="AY23" i="1"/>
  <c r="AX23" i="1"/>
  <c r="AW23" i="1"/>
  <c r="AV23" i="1"/>
  <c r="AU23" i="1"/>
  <c r="AT23" i="1"/>
  <c r="AS23" i="1"/>
  <c r="AR23" i="1"/>
  <c r="AQ23" i="1"/>
  <c r="AP23" i="1"/>
  <c r="AO23" i="1"/>
  <c r="AN23" i="1"/>
  <c r="Z23" i="1"/>
  <c r="X23" i="1"/>
  <c r="W23" i="1"/>
  <c r="V23" i="1"/>
  <c r="T23" i="1"/>
  <c r="S23" i="1"/>
  <c r="R23" i="1"/>
  <c r="R22" i="1"/>
  <c r="Q23" i="1"/>
  <c r="P23" i="1"/>
  <c r="O23" i="1"/>
  <c r="N23" i="1"/>
  <c r="N22" i="1"/>
  <c r="M23" i="1"/>
  <c r="L23" i="1"/>
  <c r="I23" i="1"/>
  <c r="AZ22" i="1"/>
  <c r="AY22" i="1"/>
  <c r="AX22" i="1"/>
  <c r="AW22" i="1"/>
  <c r="AV22" i="1"/>
  <c r="AU22" i="1"/>
  <c r="AT22" i="1"/>
  <c r="AS22" i="1"/>
  <c r="AR22" i="1"/>
  <c r="AQ22" i="1"/>
  <c r="AP22" i="1"/>
  <c r="AO22" i="1"/>
  <c r="AN22" i="1"/>
  <c r="Z9" i="1"/>
  <c r="V22" i="1"/>
  <c r="O22" i="1"/>
  <c r="P22" i="1"/>
  <c r="S22" i="1"/>
  <c r="T22" i="1"/>
  <c r="AD25" i="1"/>
  <c r="J31" i="1"/>
  <c r="Q22" i="1"/>
  <c r="I22" i="1"/>
  <c r="AD27" i="1"/>
  <c r="K28" i="1"/>
  <c r="K22" i="1"/>
  <c r="L22" i="1"/>
  <c r="AD29" i="1"/>
  <c r="U28" i="1"/>
  <c r="X22" i="1"/>
  <c r="M22" i="1"/>
  <c r="Z22" i="1"/>
  <c r="AD26" i="1"/>
  <c r="J28" i="1"/>
  <c r="AD30" i="1"/>
  <c r="AL23" i="1"/>
  <c r="U23" i="1"/>
  <c r="AG26" i="1"/>
  <c r="AL22" i="1"/>
  <c r="AD24" i="1"/>
  <c r="AD32" i="1"/>
  <c r="U31" i="1"/>
  <c r="W31" i="1"/>
  <c r="W22" i="1"/>
  <c r="I35" i="7"/>
  <c r="I37" i="7"/>
  <c r="I34" i="7"/>
  <c r="J36" i="7"/>
  <c r="J35" i="7"/>
  <c r="J38" i="7"/>
  <c r="J37" i="7"/>
  <c r="J34" i="7"/>
  <c r="K35" i="7"/>
  <c r="K37" i="7"/>
  <c r="K34" i="7"/>
  <c r="L35" i="7"/>
  <c r="L37" i="7"/>
  <c r="L34" i="7"/>
  <c r="M35" i="7"/>
  <c r="M37" i="7"/>
  <c r="M34" i="7"/>
  <c r="N35" i="7"/>
  <c r="N37" i="7"/>
  <c r="N34" i="7"/>
  <c r="O35" i="7"/>
  <c r="O37" i="7"/>
  <c r="O34" i="7"/>
  <c r="P35" i="7"/>
  <c r="P37" i="7"/>
  <c r="P34" i="7"/>
  <c r="Q35" i="7"/>
  <c r="Q37" i="7"/>
  <c r="Q34" i="7"/>
  <c r="R35" i="7"/>
  <c r="R37" i="7"/>
  <c r="R34" i="7"/>
  <c r="S35" i="7"/>
  <c r="S37" i="7"/>
  <c r="S34" i="7"/>
  <c r="T35" i="7"/>
  <c r="T37" i="7"/>
  <c r="T34" i="7"/>
  <c r="U36" i="7"/>
  <c r="U35" i="7"/>
  <c r="U38" i="7"/>
  <c r="U37" i="7"/>
  <c r="U34" i="7"/>
  <c r="V35" i="7"/>
  <c r="V37" i="7"/>
  <c r="V34" i="7"/>
  <c r="W35" i="7"/>
  <c r="W37" i="7"/>
  <c r="W34" i="7"/>
  <c r="X35" i="7"/>
  <c r="X37" i="7"/>
  <c r="X34" i="7"/>
  <c r="Y35" i="7"/>
  <c r="Y37" i="7"/>
  <c r="Y34" i="7"/>
  <c r="Z35" i="7"/>
  <c r="Z37" i="7"/>
  <c r="Z34" i="7"/>
  <c r="H35" i="7"/>
  <c r="H37" i="7"/>
  <c r="H34" i="7"/>
  <c r="AD31" i="1"/>
  <c r="AD28" i="1"/>
  <c r="U22" i="1"/>
  <c r="J23" i="1"/>
  <c r="D11" i="44"/>
  <c r="AD35" i="2"/>
  <c r="AD27" i="2"/>
  <c r="AD23" i="1"/>
  <c r="J22" i="1"/>
  <c r="AD22" i="1"/>
  <c r="AD30" i="2"/>
  <c r="AB80" i="11"/>
  <c r="AD31" i="2"/>
  <c r="AD26" i="2"/>
  <c r="P18" i="3"/>
  <c r="P17" i="3"/>
  <c r="P16" i="3"/>
  <c r="P15" i="3"/>
  <c r="P14" i="3"/>
  <c r="P13" i="3"/>
  <c r="P12" i="3"/>
  <c r="P11" i="3"/>
  <c r="Z15" i="1"/>
  <c r="AG57" i="11"/>
  <c r="D35" i="44"/>
  <c r="D20" i="44"/>
  <c r="I12" i="27"/>
  <c r="I11" i="27"/>
  <c r="I10" i="27"/>
  <c r="I14" i="27"/>
  <c r="I18" i="27"/>
  <c r="I16" i="27"/>
  <c r="J13" i="27"/>
  <c r="J12" i="27"/>
  <c r="J14" i="27"/>
  <c r="J19" i="27"/>
  <c r="J18" i="27"/>
  <c r="J16" i="27"/>
  <c r="K12" i="27"/>
  <c r="K11" i="27"/>
  <c r="K10" i="27"/>
  <c r="K9" i="27"/>
  <c r="K14" i="27"/>
  <c r="K18" i="27"/>
  <c r="K16" i="27"/>
  <c r="L12" i="27"/>
  <c r="L14" i="27"/>
  <c r="L11" i="27"/>
  <c r="L10" i="27"/>
  <c r="L18" i="27"/>
  <c r="L16" i="27"/>
  <c r="M13" i="27"/>
  <c r="M12" i="27"/>
  <c r="M15" i="27"/>
  <c r="M14" i="27"/>
  <c r="M11" i="27"/>
  <c r="M10" i="27"/>
  <c r="M18" i="27"/>
  <c r="M16" i="27"/>
  <c r="N12" i="27"/>
  <c r="N11" i="27"/>
  <c r="N10" i="27"/>
  <c r="N9" i="27"/>
  <c r="N14" i="27"/>
  <c r="N18" i="27"/>
  <c r="N16" i="27"/>
  <c r="O12" i="27"/>
  <c r="O11" i="27"/>
  <c r="O10" i="27"/>
  <c r="O14" i="27"/>
  <c r="O18" i="27"/>
  <c r="O16" i="27"/>
  <c r="P12" i="27"/>
  <c r="P14" i="27"/>
  <c r="P11" i="27"/>
  <c r="P10" i="27"/>
  <c r="P18" i="27"/>
  <c r="P16" i="27"/>
  <c r="D54" i="44"/>
  <c r="H12" i="27"/>
  <c r="H14" i="27"/>
  <c r="H11" i="27"/>
  <c r="H10" i="27"/>
  <c r="H18" i="27"/>
  <c r="H16" i="27"/>
  <c r="J21" i="1"/>
  <c r="K20" i="1"/>
  <c r="J20" i="1"/>
  <c r="J19" i="1"/>
  <c r="J18" i="1"/>
  <c r="J17" i="1"/>
  <c r="K13" i="1"/>
  <c r="J13" i="1"/>
  <c r="Q11" i="41"/>
  <c r="Q10" i="41"/>
  <c r="Q9" i="41"/>
  <c r="R10" i="41"/>
  <c r="R9" i="41"/>
  <c r="J12" i="1"/>
  <c r="AG12" i="1"/>
  <c r="AN7" i="1"/>
  <c r="U12" i="1"/>
  <c r="U13" i="1"/>
  <c r="J16" i="1"/>
  <c r="U16" i="1"/>
  <c r="U17" i="1"/>
  <c r="U18" i="1"/>
  <c r="U19" i="1"/>
  <c r="U20" i="1"/>
  <c r="U21" i="1"/>
  <c r="J78" i="7"/>
  <c r="U78" i="7"/>
  <c r="J42" i="7"/>
  <c r="U42" i="7"/>
  <c r="AC42" i="7"/>
  <c r="J15" i="7"/>
  <c r="U15" i="7"/>
  <c r="J18" i="7"/>
  <c r="U18" i="7"/>
  <c r="J21" i="7"/>
  <c r="J20" i="7"/>
  <c r="U21" i="7"/>
  <c r="U20" i="7"/>
  <c r="Z20" i="7"/>
  <c r="J23" i="7"/>
  <c r="U23" i="7"/>
  <c r="AC23" i="7"/>
  <c r="J27" i="7"/>
  <c r="U27" i="7"/>
  <c r="J29" i="7"/>
  <c r="U29" i="7"/>
  <c r="AC29" i="7"/>
  <c r="J33" i="7"/>
  <c r="U33" i="7"/>
  <c r="AC36" i="7"/>
  <c r="J45" i="7"/>
  <c r="U45" i="7"/>
  <c r="J46" i="7"/>
  <c r="U46" i="7"/>
  <c r="AC46" i="7"/>
  <c r="J47" i="7"/>
  <c r="U47" i="7"/>
  <c r="J52" i="7"/>
  <c r="U52" i="7"/>
  <c r="AC52" i="7"/>
  <c r="J53" i="7"/>
  <c r="U53" i="7"/>
  <c r="J56" i="7"/>
  <c r="U56" i="7"/>
  <c r="AC56" i="7"/>
  <c r="J59" i="7"/>
  <c r="U59" i="7"/>
  <c r="J60" i="7"/>
  <c r="U60" i="7"/>
  <c r="AC60" i="7"/>
  <c r="J62" i="7"/>
  <c r="U62" i="7"/>
  <c r="AC62" i="7"/>
  <c r="J63" i="7"/>
  <c r="U63" i="7"/>
  <c r="AC63" i="7"/>
  <c r="J67" i="7"/>
  <c r="U67" i="7"/>
  <c r="J68" i="7"/>
  <c r="U68" i="7"/>
  <c r="AC68" i="7"/>
  <c r="J79" i="7"/>
  <c r="U79" i="7"/>
  <c r="Y14" i="7"/>
  <c r="Y13" i="7"/>
  <c r="Y17" i="7"/>
  <c r="Y16" i="7"/>
  <c r="Y20" i="7"/>
  <c r="Y22" i="7"/>
  <c r="Y19" i="7"/>
  <c r="Y12" i="7"/>
  <c r="Z22" i="7"/>
  <c r="Z19" i="7"/>
  <c r="Y26" i="7"/>
  <c r="Y28" i="7"/>
  <c r="Y32" i="7"/>
  <c r="Y31" i="7"/>
  <c r="Y30" i="7"/>
  <c r="Y41" i="7"/>
  <c r="Y40" i="7"/>
  <c r="Y44" i="7"/>
  <c r="Y43" i="7"/>
  <c r="Y51" i="7"/>
  <c r="Y50" i="7"/>
  <c r="Y55" i="7"/>
  <c r="Y54" i="7"/>
  <c r="Y58" i="7"/>
  <c r="Y61" i="7"/>
  <c r="Y66" i="7"/>
  <c r="Y65" i="7"/>
  <c r="Y77" i="7"/>
  <c r="Y76" i="7"/>
  <c r="AG41" i="11"/>
  <c r="AF29" i="11"/>
  <c r="D27" i="44"/>
  <c r="AD39" i="11"/>
  <c r="AD43" i="11"/>
  <c r="AG46" i="11"/>
  <c r="J63" i="11"/>
  <c r="AD73" i="11"/>
  <c r="AD84" i="11"/>
  <c r="AD85" i="11"/>
  <c r="AD86" i="11"/>
  <c r="AD87" i="11"/>
  <c r="AD88" i="11"/>
  <c r="AD42" i="2"/>
  <c r="J7" i="44"/>
  <c r="J8" i="44"/>
  <c r="R11" i="40"/>
  <c r="R10" i="40"/>
  <c r="R9" i="40"/>
  <c r="D61" i="44"/>
  <c r="D62" i="44"/>
  <c r="C59" i="44"/>
  <c r="L12" i="29"/>
  <c r="L11" i="29"/>
  <c r="L10" i="29"/>
  <c r="D56" i="44"/>
  <c r="L11" i="42"/>
  <c r="L10" i="42"/>
  <c r="D51" i="44"/>
  <c r="L9" i="42"/>
  <c r="D50" i="44"/>
  <c r="D48" i="44"/>
  <c r="D47" i="44"/>
  <c r="D34" i="44"/>
  <c r="D23" i="44"/>
  <c r="D18" i="44"/>
  <c r="G18" i="44"/>
  <c r="G17" i="44"/>
  <c r="C52" i="44"/>
  <c r="C50" i="44"/>
  <c r="C57" i="44"/>
  <c r="C45" i="44"/>
  <c r="C43" i="44"/>
  <c r="C55" i="44"/>
  <c r="C40" i="44"/>
  <c r="C37" i="44"/>
  <c r="C35" i="44"/>
  <c r="C21" i="44"/>
  <c r="C19" i="44"/>
  <c r="C28" i="44"/>
  <c r="C24" i="44"/>
  <c r="C17" i="44"/>
  <c r="C15" i="44"/>
  <c r="C11" i="44"/>
  <c r="C9" i="44"/>
  <c r="C7" i="44"/>
  <c r="C6" i="44"/>
  <c r="J45" i="34"/>
  <c r="J27" i="34"/>
  <c r="J34" i="34"/>
  <c r="J26" i="34"/>
  <c r="J36" i="34"/>
  <c r="J42" i="34"/>
  <c r="K45" i="34"/>
  <c r="K27" i="34"/>
  <c r="K34" i="34"/>
  <c r="K36" i="34"/>
  <c r="K42" i="34"/>
  <c r="H45" i="34"/>
  <c r="H27" i="34"/>
  <c r="H34" i="34"/>
  <c r="H26" i="34"/>
  <c r="H36" i="34"/>
  <c r="H42" i="34"/>
  <c r="L12" i="38"/>
  <c r="L11" i="38"/>
  <c r="L10" i="38"/>
  <c r="L9" i="38"/>
  <c r="AJ73" i="7"/>
  <c r="AG75" i="11"/>
  <c r="AC73" i="7"/>
  <c r="AF73" i="7"/>
  <c r="AF75" i="7"/>
  <c r="AD71" i="7"/>
  <c r="AE71" i="7"/>
  <c r="AG56" i="2"/>
  <c r="AG55" i="2"/>
  <c r="AG54" i="2"/>
  <c r="A54" i="2"/>
  <c r="A55" i="2"/>
  <c r="A56" i="2"/>
  <c r="AG53" i="2"/>
  <c r="AD49" i="2"/>
  <c r="AJ71" i="7"/>
  <c r="AF71" i="7"/>
  <c r="I12" i="43"/>
  <c r="I11" i="42"/>
  <c r="I10" i="42"/>
  <c r="I9" i="42"/>
  <c r="J11" i="42"/>
  <c r="J10" i="42"/>
  <c r="J9" i="42"/>
  <c r="K11" i="42"/>
  <c r="K10" i="42"/>
  <c r="K9" i="42"/>
  <c r="H11" i="42"/>
  <c r="H10" i="42"/>
  <c r="H9" i="42"/>
  <c r="Q12" i="42"/>
  <c r="U8" i="42"/>
  <c r="AH8" i="42"/>
  <c r="N9" i="42"/>
  <c r="AG8" i="42"/>
  <c r="AF8" i="42"/>
  <c r="AE8" i="42"/>
  <c r="AD8" i="42"/>
  <c r="AC8" i="42"/>
  <c r="AB8" i="42"/>
  <c r="AA8" i="42"/>
  <c r="Z8" i="42"/>
  <c r="Y8" i="42"/>
  <c r="X8" i="42"/>
  <c r="W8" i="42"/>
  <c r="V8" i="42"/>
  <c r="T8" i="42"/>
  <c r="S8" i="42"/>
  <c r="AG7" i="42"/>
  <c r="AF7" i="42"/>
  <c r="AE7" i="42"/>
  <c r="AD7" i="42"/>
  <c r="AC7" i="42"/>
  <c r="AB7" i="42"/>
  <c r="AA7" i="42"/>
  <c r="Z7" i="42"/>
  <c r="Y7" i="42"/>
  <c r="X7" i="42"/>
  <c r="W7" i="42"/>
  <c r="AH7" i="42"/>
  <c r="V7" i="42"/>
  <c r="U7" i="42"/>
  <c r="T7" i="42"/>
  <c r="S7" i="42"/>
  <c r="J11" i="36"/>
  <c r="J10" i="36"/>
  <c r="J9" i="36"/>
  <c r="K11" i="36"/>
  <c r="K10" i="36"/>
  <c r="K9" i="36"/>
  <c r="L11" i="36"/>
  <c r="L10" i="36"/>
  <c r="L9" i="36"/>
  <c r="D33" i="44"/>
  <c r="AD50" i="2"/>
  <c r="H26" i="7"/>
  <c r="I26" i="7"/>
  <c r="K26" i="7"/>
  <c r="L26" i="7"/>
  <c r="M26" i="7"/>
  <c r="N26" i="7"/>
  <c r="O26" i="7"/>
  <c r="P26" i="7"/>
  <c r="Q26" i="7"/>
  <c r="R26" i="7"/>
  <c r="S26" i="7"/>
  <c r="T26" i="7"/>
  <c r="V26" i="7"/>
  <c r="W26" i="7"/>
  <c r="X26" i="7"/>
  <c r="R32" i="7"/>
  <c r="R31" i="7"/>
  <c r="R30" i="7"/>
  <c r="W32" i="7"/>
  <c r="W31" i="7"/>
  <c r="W30" i="7"/>
  <c r="X12" i="41"/>
  <c r="AB8" i="41"/>
  <c r="AO8" i="41"/>
  <c r="M12" i="41"/>
  <c r="K12" i="41"/>
  <c r="M11" i="41"/>
  <c r="M10" i="41"/>
  <c r="M9" i="41"/>
  <c r="P11" i="41"/>
  <c r="P10" i="41"/>
  <c r="P9" i="41"/>
  <c r="N11" i="41"/>
  <c r="N10" i="41"/>
  <c r="N9" i="41"/>
  <c r="L11" i="41"/>
  <c r="J11" i="41"/>
  <c r="J10" i="41"/>
  <c r="J9" i="41"/>
  <c r="I11" i="41"/>
  <c r="I10" i="41"/>
  <c r="I9" i="41"/>
  <c r="H11" i="41"/>
  <c r="H10" i="41"/>
  <c r="H9" i="41"/>
  <c r="L10" i="41"/>
  <c r="L9" i="41"/>
  <c r="AN9" i="41"/>
  <c r="AM9" i="41"/>
  <c r="AL9" i="41"/>
  <c r="AK9" i="41"/>
  <c r="AJ9" i="41"/>
  <c r="AI9" i="41"/>
  <c r="AH9" i="41"/>
  <c r="AG9" i="41"/>
  <c r="AF9" i="41"/>
  <c r="AE9" i="41"/>
  <c r="AD9" i="41"/>
  <c r="AC9" i="41"/>
  <c r="AO9" i="41"/>
  <c r="AB9" i="41"/>
  <c r="AA9" i="41"/>
  <c r="Z9" i="41"/>
  <c r="AN8" i="41"/>
  <c r="AM8" i="41"/>
  <c r="AL8" i="41"/>
  <c r="AK8" i="41"/>
  <c r="AJ8" i="41"/>
  <c r="AI8" i="41"/>
  <c r="AH8" i="41"/>
  <c r="AG8" i="41"/>
  <c r="AF8" i="41"/>
  <c r="AE8" i="41"/>
  <c r="AD8" i="41"/>
  <c r="AC8" i="41"/>
  <c r="AA8" i="41"/>
  <c r="Z8" i="41"/>
  <c r="D63" i="44"/>
  <c r="D64" i="44"/>
  <c r="I12" i="38"/>
  <c r="I11" i="38"/>
  <c r="I10" i="38"/>
  <c r="I9" i="38"/>
  <c r="J12" i="38"/>
  <c r="J11" i="38"/>
  <c r="K12" i="38"/>
  <c r="K11" i="38"/>
  <c r="M12" i="38"/>
  <c r="M11" i="38"/>
  <c r="D60" i="44"/>
  <c r="H12" i="38"/>
  <c r="H11" i="38"/>
  <c r="H10" i="38"/>
  <c r="H9" i="38"/>
  <c r="I11" i="40"/>
  <c r="I10" i="40"/>
  <c r="I9" i="40"/>
  <c r="J11" i="40"/>
  <c r="J10" i="40"/>
  <c r="J9" i="40"/>
  <c r="L11" i="40"/>
  <c r="L10" i="40"/>
  <c r="N11" i="40"/>
  <c r="N10" i="40"/>
  <c r="N9" i="40"/>
  <c r="P11" i="40"/>
  <c r="P10" i="40"/>
  <c r="Q11" i="40"/>
  <c r="Q10" i="40"/>
  <c r="Q9" i="40"/>
  <c r="H11" i="40"/>
  <c r="H10" i="40"/>
  <c r="H9" i="40"/>
  <c r="M12" i="40"/>
  <c r="M11" i="40"/>
  <c r="M10" i="40"/>
  <c r="M9" i="40"/>
  <c r="L9" i="40"/>
  <c r="AM9" i="40"/>
  <c r="AL9" i="40"/>
  <c r="AK9" i="40"/>
  <c r="AJ9" i="40"/>
  <c r="AI9" i="40"/>
  <c r="AH9" i="40"/>
  <c r="AG9" i="40"/>
  <c r="AF9" i="40"/>
  <c r="AE9" i="40"/>
  <c r="AD9" i="40"/>
  <c r="AC9" i="40"/>
  <c r="AB9" i="40"/>
  <c r="AA9" i="40"/>
  <c r="AN9" i="40"/>
  <c r="Z9" i="40"/>
  <c r="Y9" i="40"/>
  <c r="AM8" i="40"/>
  <c r="AL8" i="40"/>
  <c r="AK8" i="40"/>
  <c r="AJ8" i="40"/>
  <c r="AI8" i="40"/>
  <c r="AH8" i="40"/>
  <c r="AG8" i="40"/>
  <c r="AF8" i="40"/>
  <c r="AE8" i="40"/>
  <c r="AD8" i="40"/>
  <c r="AC8" i="40"/>
  <c r="AB8" i="40"/>
  <c r="Y8" i="40"/>
  <c r="U15" i="27"/>
  <c r="K12" i="40"/>
  <c r="O12" i="40"/>
  <c r="O11" i="40"/>
  <c r="O10" i="40"/>
  <c r="O9" i="40"/>
  <c r="K11" i="40"/>
  <c r="K10" i="40"/>
  <c r="K9" i="40"/>
  <c r="P9" i="40"/>
  <c r="T9" i="40"/>
  <c r="W12" i="40"/>
  <c r="Z8" i="40"/>
  <c r="AA8" i="40"/>
  <c r="AN8" i="40"/>
  <c r="L48" i="34"/>
  <c r="L44" i="34"/>
  <c r="L43" i="34"/>
  <c r="L41" i="34"/>
  <c r="L40" i="34"/>
  <c r="L39" i="34"/>
  <c r="L36" i="34"/>
  <c r="L38" i="34"/>
  <c r="L47" i="34"/>
  <c r="L46" i="34"/>
  <c r="L45" i="34"/>
  <c r="L28" i="34"/>
  <c r="L29" i="34"/>
  <c r="L30" i="34"/>
  <c r="L31" i="34"/>
  <c r="L27" i="34"/>
  <c r="L26" i="34"/>
  <c r="L32" i="34"/>
  <c r="L33" i="34"/>
  <c r="L35" i="34"/>
  <c r="L34" i="34"/>
  <c r="L37" i="34"/>
  <c r="L42" i="34"/>
  <c r="L25" i="34"/>
  <c r="L24" i="34"/>
  <c r="L23" i="34"/>
  <c r="L22" i="34"/>
  <c r="L21" i="34"/>
  <c r="L20" i="34"/>
  <c r="L19" i="34"/>
  <c r="L18" i="34"/>
  <c r="L17" i="34"/>
  <c r="L16" i="34"/>
  <c r="L15" i="34"/>
  <c r="L12" i="34"/>
  <c r="L11" i="34"/>
  <c r="L10" i="34"/>
  <c r="L9" i="34"/>
  <c r="L14" i="34"/>
  <c r="L13" i="34"/>
  <c r="K23" i="34"/>
  <c r="K22" i="34"/>
  <c r="K21" i="34"/>
  <c r="K19" i="34"/>
  <c r="K18" i="34"/>
  <c r="K17" i="34"/>
  <c r="K15" i="34"/>
  <c r="K13" i="34"/>
  <c r="K12" i="34"/>
  <c r="K11" i="34"/>
  <c r="M10" i="38"/>
  <c r="M9" i="38"/>
  <c r="D59" i="44"/>
  <c r="J10" i="38"/>
  <c r="J9" i="38"/>
  <c r="K10" i="38"/>
  <c r="K9" i="38"/>
  <c r="AH12" i="38"/>
  <c r="AG12" i="38"/>
  <c r="AF12" i="38"/>
  <c r="AE12" i="38"/>
  <c r="AD12" i="38"/>
  <c r="AC12" i="38"/>
  <c r="AB12" i="38"/>
  <c r="AA12" i="38"/>
  <c r="Z12" i="38"/>
  <c r="Y12" i="38"/>
  <c r="X12" i="38"/>
  <c r="W12" i="38"/>
  <c r="T12" i="38"/>
  <c r="V12" i="38"/>
  <c r="AH10" i="38"/>
  <c r="AG10" i="38"/>
  <c r="AF10" i="38"/>
  <c r="AE10" i="38"/>
  <c r="AD10" i="38"/>
  <c r="AC10" i="38"/>
  <c r="AB10" i="38"/>
  <c r="AA10" i="38"/>
  <c r="Z10" i="38"/>
  <c r="Y10" i="38"/>
  <c r="X10" i="38"/>
  <c r="W10" i="38"/>
  <c r="V10" i="38"/>
  <c r="T10" i="38"/>
  <c r="AH9" i="38"/>
  <c r="AG9" i="38"/>
  <c r="AF9" i="38"/>
  <c r="AE9" i="38"/>
  <c r="AD9" i="38"/>
  <c r="AC9" i="38"/>
  <c r="AB9" i="38"/>
  <c r="AA9" i="38"/>
  <c r="Z9" i="38"/>
  <c r="Y9" i="38"/>
  <c r="X9" i="38"/>
  <c r="W9" i="38"/>
  <c r="V9" i="38"/>
  <c r="U9" i="38"/>
  <c r="T9" i="38"/>
  <c r="AH8" i="38"/>
  <c r="AG8" i="38"/>
  <c r="AF8" i="38"/>
  <c r="AE8" i="38"/>
  <c r="AD8" i="38"/>
  <c r="AC8" i="38"/>
  <c r="AB8" i="38"/>
  <c r="AA8" i="38"/>
  <c r="Z8" i="38"/>
  <c r="Y8" i="38"/>
  <c r="X8" i="38"/>
  <c r="AI8" i="38"/>
  <c r="W8" i="38"/>
  <c r="V8" i="38"/>
  <c r="U8" i="38"/>
  <c r="T8" i="38"/>
  <c r="AI9" i="38"/>
  <c r="R12" i="36"/>
  <c r="AH11" i="36"/>
  <c r="AG11" i="36"/>
  <c r="AF11" i="36"/>
  <c r="AE11" i="36"/>
  <c r="AD11" i="36"/>
  <c r="AC11" i="36"/>
  <c r="AB11" i="36"/>
  <c r="AA11" i="36"/>
  <c r="Z11" i="36"/>
  <c r="Y11" i="36"/>
  <c r="X11" i="36"/>
  <c r="T11" i="36"/>
  <c r="W11" i="36"/>
  <c r="V11" i="36"/>
  <c r="M11" i="36"/>
  <c r="M10" i="36"/>
  <c r="I11" i="36"/>
  <c r="I10" i="36"/>
  <c r="I9" i="36"/>
  <c r="H11" i="36"/>
  <c r="H10" i="36"/>
  <c r="H9" i="36"/>
  <c r="AH10" i="36"/>
  <c r="AG10" i="36"/>
  <c r="AF10" i="36"/>
  <c r="AE10" i="36"/>
  <c r="AD10" i="36"/>
  <c r="AC10" i="36"/>
  <c r="AB10" i="36"/>
  <c r="AA10" i="36"/>
  <c r="Z10" i="36"/>
  <c r="Y10" i="36"/>
  <c r="X10" i="36"/>
  <c r="W10" i="36"/>
  <c r="V10" i="36"/>
  <c r="AH9" i="36"/>
  <c r="AG9" i="36"/>
  <c r="AF9" i="36"/>
  <c r="AE9" i="36"/>
  <c r="AD9" i="36"/>
  <c r="AC9" i="36"/>
  <c r="AB9" i="36"/>
  <c r="AA9" i="36"/>
  <c r="Z9" i="36"/>
  <c r="Y9" i="36"/>
  <c r="X9" i="36"/>
  <c r="W9" i="36"/>
  <c r="V9" i="36"/>
  <c r="AI9" i="36"/>
  <c r="U9" i="36"/>
  <c r="T9" i="36"/>
  <c r="AH8" i="36"/>
  <c r="AG8" i="36"/>
  <c r="AF8" i="36"/>
  <c r="AE8" i="36"/>
  <c r="AD8" i="36"/>
  <c r="AC8" i="36"/>
  <c r="AB8" i="36"/>
  <c r="AA8" i="36"/>
  <c r="Z8" i="36"/>
  <c r="Y8" i="36"/>
  <c r="AI8" i="36"/>
  <c r="X8" i="36"/>
  <c r="W8" i="36"/>
  <c r="V8" i="36"/>
  <c r="U8" i="36"/>
  <c r="T8" i="36"/>
  <c r="H15" i="1"/>
  <c r="T10" i="36"/>
  <c r="AG43" i="2"/>
  <c r="AD43" i="2"/>
  <c r="I15" i="1"/>
  <c r="L15" i="1"/>
  <c r="M15" i="1"/>
  <c r="N15" i="1"/>
  <c r="O15" i="1"/>
  <c r="P15" i="1"/>
  <c r="Q15" i="1"/>
  <c r="R15" i="1"/>
  <c r="S15" i="1"/>
  <c r="T15" i="1"/>
  <c r="V15" i="1"/>
  <c r="W15" i="1"/>
  <c r="X15" i="1"/>
  <c r="Y15" i="1"/>
  <c r="AJ7" i="1"/>
  <c r="H22" i="7"/>
  <c r="I22" i="7"/>
  <c r="H20" i="7"/>
  <c r="I20" i="7"/>
  <c r="D8" i="44"/>
  <c r="G8" i="44"/>
  <c r="I48" i="34"/>
  <c r="I42" i="34"/>
  <c r="I41" i="34"/>
  <c r="I40" i="34"/>
  <c r="I37" i="34"/>
  <c r="I36" i="34"/>
  <c r="I39" i="34"/>
  <c r="I47" i="34"/>
  <c r="I46" i="34"/>
  <c r="I34" i="34"/>
  <c r="I33" i="34"/>
  <c r="I30" i="34"/>
  <c r="I29" i="34"/>
  <c r="I28" i="34"/>
  <c r="AG23" i="34"/>
  <c r="AF23" i="34"/>
  <c r="AE23" i="34"/>
  <c r="AD23" i="34"/>
  <c r="AC23" i="34"/>
  <c r="AB23" i="34"/>
  <c r="AA23" i="34"/>
  <c r="Z23" i="34"/>
  <c r="Y23" i="34"/>
  <c r="X23" i="34"/>
  <c r="W23" i="34"/>
  <c r="V23" i="34"/>
  <c r="U23" i="34"/>
  <c r="J23" i="34"/>
  <c r="J22" i="34"/>
  <c r="J21" i="34"/>
  <c r="I23" i="34"/>
  <c r="I22" i="34"/>
  <c r="I21" i="34"/>
  <c r="H23" i="34"/>
  <c r="H22" i="34"/>
  <c r="H21" i="34"/>
  <c r="AG22" i="34"/>
  <c r="AF22" i="34"/>
  <c r="AE22" i="34"/>
  <c r="AD22" i="34"/>
  <c r="AC22" i="34"/>
  <c r="AB22" i="34"/>
  <c r="AA22" i="34"/>
  <c r="Z22" i="34"/>
  <c r="Y22" i="34"/>
  <c r="X22" i="34"/>
  <c r="W22" i="34"/>
  <c r="V22" i="34"/>
  <c r="U22" i="34"/>
  <c r="S22" i="34"/>
  <c r="AG12" i="34"/>
  <c r="AG19" i="34"/>
  <c r="S19" i="34"/>
  <c r="AF12" i="34"/>
  <c r="AE12" i="34"/>
  <c r="AE19" i="34"/>
  <c r="AD12" i="34"/>
  <c r="AC12" i="34"/>
  <c r="AC19" i="34"/>
  <c r="AB12" i="34"/>
  <c r="AA12" i="34"/>
  <c r="Z12" i="34"/>
  <c r="Z19" i="34"/>
  <c r="Y12" i="34"/>
  <c r="Y18" i="34"/>
  <c r="X12" i="34"/>
  <c r="W12" i="34"/>
  <c r="W19" i="34"/>
  <c r="V12" i="34"/>
  <c r="V19" i="34"/>
  <c r="U12" i="34"/>
  <c r="U19" i="34"/>
  <c r="J19" i="34"/>
  <c r="J18" i="34"/>
  <c r="J17" i="34"/>
  <c r="M17" i="34"/>
  <c r="I19" i="34"/>
  <c r="I18" i="34"/>
  <c r="I17" i="34"/>
  <c r="H19" i="34"/>
  <c r="H18" i="34"/>
  <c r="H17" i="34"/>
  <c r="AC18" i="34"/>
  <c r="Q16" i="34"/>
  <c r="AG15" i="34"/>
  <c r="AF15" i="34"/>
  <c r="AE15" i="34"/>
  <c r="AD15" i="34"/>
  <c r="AC15" i="34"/>
  <c r="AB15" i="34"/>
  <c r="AA15" i="34"/>
  <c r="Z15" i="34"/>
  <c r="Y15" i="34"/>
  <c r="X15" i="34"/>
  <c r="W15" i="34"/>
  <c r="V15" i="34"/>
  <c r="U15" i="34"/>
  <c r="S15" i="34"/>
  <c r="J15" i="34"/>
  <c r="I15" i="34"/>
  <c r="H15" i="34"/>
  <c r="Q14" i="34"/>
  <c r="AG13" i="34"/>
  <c r="AF13" i="34"/>
  <c r="AE13" i="34"/>
  <c r="AD13" i="34"/>
  <c r="AC13" i="34"/>
  <c r="AB13" i="34"/>
  <c r="AA13" i="34"/>
  <c r="Z13" i="34"/>
  <c r="Y13" i="34"/>
  <c r="X13" i="34"/>
  <c r="W13" i="34"/>
  <c r="V13" i="34"/>
  <c r="U13" i="34"/>
  <c r="J13" i="34"/>
  <c r="J12" i="34"/>
  <c r="J11" i="34"/>
  <c r="I13" i="34"/>
  <c r="H13" i="34"/>
  <c r="U9" i="34"/>
  <c r="V9" i="34"/>
  <c r="W9" i="34"/>
  <c r="X9" i="34"/>
  <c r="Y9" i="34"/>
  <c r="Z9" i="34"/>
  <c r="AA9" i="34"/>
  <c r="AB9" i="34"/>
  <c r="AC9" i="34"/>
  <c r="AD9" i="34"/>
  <c r="AE9" i="34"/>
  <c r="AF9" i="34"/>
  <c r="AG9" i="34"/>
  <c r="T9" i="34"/>
  <c r="S9" i="34"/>
  <c r="AG8" i="34"/>
  <c r="AF8" i="34"/>
  <c r="AE8" i="34"/>
  <c r="AD8" i="34"/>
  <c r="AC8" i="34"/>
  <c r="AB8" i="34"/>
  <c r="AA8" i="34"/>
  <c r="Z8" i="34"/>
  <c r="Y8" i="34"/>
  <c r="X8" i="34"/>
  <c r="W8" i="34"/>
  <c r="V8" i="34"/>
  <c r="S8" i="34"/>
  <c r="H17" i="7"/>
  <c r="H16" i="7"/>
  <c r="I17" i="7"/>
  <c r="I16" i="7"/>
  <c r="K17" i="7"/>
  <c r="K16" i="7"/>
  <c r="L17" i="7"/>
  <c r="L16" i="7"/>
  <c r="M17" i="7"/>
  <c r="M16" i="7"/>
  <c r="N17" i="7"/>
  <c r="N16" i="7"/>
  <c r="O17" i="7"/>
  <c r="O16" i="7"/>
  <c r="P17" i="7"/>
  <c r="P16" i="7"/>
  <c r="Q17" i="7"/>
  <c r="Q16" i="7"/>
  <c r="R17" i="7"/>
  <c r="R16" i="7"/>
  <c r="S17" i="7"/>
  <c r="S16" i="7"/>
  <c r="T17" i="7"/>
  <c r="T16" i="7"/>
  <c r="V17" i="7"/>
  <c r="V16" i="7"/>
  <c r="W17" i="7"/>
  <c r="W16" i="7"/>
  <c r="X17" i="7"/>
  <c r="X16" i="7"/>
  <c r="H14" i="7"/>
  <c r="H13" i="7"/>
  <c r="H28" i="7"/>
  <c r="H32" i="7"/>
  <c r="H31" i="7"/>
  <c r="H41" i="7"/>
  <c r="H40" i="7"/>
  <c r="H44" i="7"/>
  <c r="H43" i="7"/>
  <c r="I14" i="7"/>
  <c r="I13" i="7"/>
  <c r="I28" i="7"/>
  <c r="I25" i="7"/>
  <c r="I24" i="7"/>
  <c r="I32" i="7"/>
  <c r="I31" i="7"/>
  <c r="I30" i="7"/>
  <c r="I41" i="7"/>
  <c r="I40" i="7"/>
  <c r="I44" i="7"/>
  <c r="I43" i="7"/>
  <c r="K14" i="7"/>
  <c r="K13" i="7"/>
  <c r="K20" i="7"/>
  <c r="K22" i="7"/>
  <c r="K19" i="7"/>
  <c r="K28" i="7"/>
  <c r="K25" i="7"/>
  <c r="K24" i="7"/>
  <c r="K32" i="7"/>
  <c r="K31" i="7"/>
  <c r="K41" i="7"/>
  <c r="K44" i="7"/>
  <c r="K43" i="7"/>
  <c r="L14" i="7"/>
  <c r="L13" i="7"/>
  <c r="L20" i="7"/>
  <c r="L22" i="7"/>
  <c r="L19" i="7"/>
  <c r="L28" i="7"/>
  <c r="L25" i="7"/>
  <c r="L24" i="7"/>
  <c r="L32" i="7"/>
  <c r="L31" i="7"/>
  <c r="L41" i="7"/>
  <c r="L40" i="7"/>
  <c r="L44" i="7"/>
  <c r="L43" i="7"/>
  <c r="M14" i="7"/>
  <c r="M13" i="7"/>
  <c r="M20" i="7"/>
  <c r="M22" i="7"/>
  <c r="M28" i="7"/>
  <c r="M25" i="7"/>
  <c r="M24" i="7"/>
  <c r="M32" i="7"/>
  <c r="M31" i="7"/>
  <c r="M30" i="7"/>
  <c r="M41" i="7"/>
  <c r="M40" i="7"/>
  <c r="M44" i="7"/>
  <c r="M43" i="7"/>
  <c r="N14" i="7"/>
  <c r="N13" i="7"/>
  <c r="N20" i="7"/>
  <c r="N22" i="7"/>
  <c r="N28" i="7"/>
  <c r="N25" i="7"/>
  <c r="N24" i="7"/>
  <c r="N32" i="7"/>
  <c r="N31" i="7"/>
  <c r="N30" i="7"/>
  <c r="N41" i="7"/>
  <c r="N40" i="7"/>
  <c r="N44" i="7"/>
  <c r="N43" i="7"/>
  <c r="O14" i="7"/>
  <c r="O13" i="7"/>
  <c r="O20" i="7"/>
  <c r="O22" i="7"/>
  <c r="O28" i="7"/>
  <c r="O25" i="7"/>
  <c r="O24" i="7"/>
  <c r="O32" i="7"/>
  <c r="O31" i="7"/>
  <c r="O30" i="7"/>
  <c r="O41" i="7"/>
  <c r="O40" i="7"/>
  <c r="O44" i="7"/>
  <c r="O43" i="7"/>
  <c r="P14" i="7"/>
  <c r="P13" i="7"/>
  <c r="P20" i="7"/>
  <c r="P22" i="7"/>
  <c r="P28" i="7"/>
  <c r="P25" i="7"/>
  <c r="P24" i="7"/>
  <c r="P32" i="7"/>
  <c r="P31" i="7"/>
  <c r="P41" i="7"/>
  <c r="P40" i="7"/>
  <c r="P44" i="7"/>
  <c r="P43" i="7"/>
  <c r="P39" i="7"/>
  <c r="Q14" i="7"/>
  <c r="Q13" i="7"/>
  <c r="Q20" i="7"/>
  <c r="Q22" i="7"/>
  <c r="Q19" i="7"/>
  <c r="Q28" i="7"/>
  <c r="Q32" i="7"/>
  <c r="Q31" i="7"/>
  <c r="Q41" i="7"/>
  <c r="Q40" i="7"/>
  <c r="Q44" i="7"/>
  <c r="Q43" i="7"/>
  <c r="R14" i="7"/>
  <c r="R13" i="7"/>
  <c r="R20" i="7"/>
  <c r="R22" i="7"/>
  <c r="R28" i="7"/>
  <c r="R25" i="7"/>
  <c r="R24" i="7"/>
  <c r="R41" i="7"/>
  <c r="R40" i="7"/>
  <c r="R44" i="7"/>
  <c r="R43" i="7"/>
  <c r="S14" i="7"/>
  <c r="S13" i="7"/>
  <c r="S20" i="7"/>
  <c r="S22" i="7"/>
  <c r="S28" i="7"/>
  <c r="S32" i="7"/>
  <c r="S31" i="7"/>
  <c r="S30" i="7"/>
  <c r="S41" i="7"/>
  <c r="S40" i="7"/>
  <c r="S44" i="7"/>
  <c r="S43" i="7"/>
  <c r="T14" i="7"/>
  <c r="T13" i="7"/>
  <c r="T20" i="7"/>
  <c r="T22" i="7"/>
  <c r="T28" i="7"/>
  <c r="T32" i="7"/>
  <c r="T31" i="7"/>
  <c r="T41" i="7"/>
  <c r="T40" i="7"/>
  <c r="T44" i="7"/>
  <c r="T43" i="7"/>
  <c r="V14" i="7"/>
  <c r="V13" i="7"/>
  <c r="V20" i="7"/>
  <c r="V22" i="7"/>
  <c r="V19" i="7"/>
  <c r="V12" i="7"/>
  <c r="V28" i="7"/>
  <c r="V25" i="7"/>
  <c r="V24" i="7"/>
  <c r="V32" i="7"/>
  <c r="V31" i="7"/>
  <c r="V30" i="7"/>
  <c r="V41" i="7"/>
  <c r="V44" i="7"/>
  <c r="V43" i="7"/>
  <c r="W14" i="7"/>
  <c r="W13" i="7"/>
  <c r="W20" i="7"/>
  <c r="W22" i="7"/>
  <c r="W19" i="7"/>
  <c r="W28" i="7"/>
  <c r="W25" i="7"/>
  <c r="W24" i="7"/>
  <c r="W41" i="7"/>
  <c r="W40" i="7"/>
  <c r="W44" i="7"/>
  <c r="W43" i="7"/>
  <c r="X14" i="7"/>
  <c r="X13" i="7"/>
  <c r="X20" i="7"/>
  <c r="X22" i="7"/>
  <c r="X28" i="7"/>
  <c r="X25" i="7"/>
  <c r="X24" i="7"/>
  <c r="X32" i="7"/>
  <c r="X31" i="7"/>
  <c r="X41" i="7"/>
  <c r="X40" i="7"/>
  <c r="X44" i="7"/>
  <c r="X43" i="7"/>
  <c r="H51" i="7"/>
  <c r="H50" i="7"/>
  <c r="H55" i="7"/>
  <c r="H54" i="7"/>
  <c r="H58" i="7"/>
  <c r="H61" i="7"/>
  <c r="H66" i="7"/>
  <c r="H65" i="7"/>
  <c r="H77" i="7"/>
  <c r="H76" i="7"/>
  <c r="I51" i="7"/>
  <c r="I50" i="7"/>
  <c r="I55" i="7"/>
  <c r="I54" i="7"/>
  <c r="I58" i="7"/>
  <c r="I61" i="7"/>
  <c r="I66" i="7"/>
  <c r="I65" i="7"/>
  <c r="I77" i="7"/>
  <c r="I76" i="7"/>
  <c r="K51" i="7"/>
  <c r="K50" i="7"/>
  <c r="K55" i="7"/>
  <c r="K54" i="7"/>
  <c r="K58" i="7"/>
  <c r="K61" i="7"/>
  <c r="K66" i="7"/>
  <c r="K65" i="7"/>
  <c r="K77" i="7"/>
  <c r="K76" i="7"/>
  <c r="L51" i="7"/>
  <c r="L50" i="7"/>
  <c r="L55" i="7"/>
  <c r="L54" i="7"/>
  <c r="L58" i="7"/>
  <c r="L61" i="7"/>
  <c r="L66" i="7"/>
  <c r="L65" i="7"/>
  <c r="L77" i="7"/>
  <c r="L76" i="7"/>
  <c r="M51" i="7"/>
  <c r="M50" i="7"/>
  <c r="M55" i="7"/>
  <c r="M54" i="7"/>
  <c r="M58" i="7"/>
  <c r="M61" i="7"/>
  <c r="M66" i="7"/>
  <c r="M65" i="7"/>
  <c r="M77" i="7"/>
  <c r="M76" i="7"/>
  <c r="N51" i="7"/>
  <c r="N50" i="7"/>
  <c r="N55" i="7"/>
  <c r="N54" i="7"/>
  <c r="N58" i="7"/>
  <c r="N61" i="7"/>
  <c r="N66" i="7"/>
  <c r="N65" i="7"/>
  <c r="N77" i="7"/>
  <c r="N76" i="7"/>
  <c r="O51" i="7"/>
  <c r="O50" i="7"/>
  <c r="O55" i="7"/>
  <c r="O54" i="7"/>
  <c r="O58" i="7"/>
  <c r="O61" i="7"/>
  <c r="O66" i="7"/>
  <c r="O65" i="7"/>
  <c r="O77" i="7"/>
  <c r="O76" i="7"/>
  <c r="P51" i="7"/>
  <c r="P50" i="7"/>
  <c r="P55" i="7"/>
  <c r="P54" i="7"/>
  <c r="P58" i="7"/>
  <c r="P61" i="7"/>
  <c r="P66" i="7"/>
  <c r="P65" i="7"/>
  <c r="P77" i="7"/>
  <c r="P76" i="7"/>
  <c r="Q51" i="7"/>
  <c r="Q50" i="7"/>
  <c r="Q55" i="7"/>
  <c r="Q54" i="7"/>
  <c r="Q58" i="7"/>
  <c r="Q61" i="7"/>
  <c r="Q66" i="7"/>
  <c r="Q65" i="7"/>
  <c r="Q77" i="7"/>
  <c r="Q76" i="7"/>
  <c r="R51" i="7"/>
  <c r="R50" i="7"/>
  <c r="R55" i="7"/>
  <c r="R54" i="7"/>
  <c r="R58" i="7"/>
  <c r="R61" i="7"/>
  <c r="R57" i="7"/>
  <c r="R66" i="7"/>
  <c r="R65" i="7"/>
  <c r="R77" i="7"/>
  <c r="R76" i="7"/>
  <c r="S51" i="7"/>
  <c r="S50" i="7"/>
  <c r="S55" i="7"/>
  <c r="S54" i="7"/>
  <c r="S58" i="7"/>
  <c r="S61" i="7"/>
  <c r="S66" i="7"/>
  <c r="S65" i="7"/>
  <c r="S77" i="7"/>
  <c r="S76" i="7"/>
  <c r="T51" i="7"/>
  <c r="T50" i="7"/>
  <c r="T55" i="7"/>
  <c r="T54" i="7"/>
  <c r="T58" i="7"/>
  <c r="T61" i="7"/>
  <c r="T66" i="7"/>
  <c r="T65" i="7"/>
  <c r="T77" i="7"/>
  <c r="T76" i="7"/>
  <c r="V51" i="7"/>
  <c r="V50" i="7"/>
  <c r="V55" i="7"/>
  <c r="V54" i="7"/>
  <c r="V58" i="7"/>
  <c r="V61" i="7"/>
  <c r="V66" i="7"/>
  <c r="V65" i="7"/>
  <c r="V77" i="7"/>
  <c r="V76" i="7"/>
  <c r="W51" i="7"/>
  <c r="W50" i="7"/>
  <c r="W55" i="7"/>
  <c r="W54" i="7"/>
  <c r="W58" i="7"/>
  <c r="W61" i="7"/>
  <c r="W66" i="7"/>
  <c r="W65" i="7"/>
  <c r="W77" i="7"/>
  <c r="W76" i="7"/>
  <c r="X51" i="7"/>
  <c r="X50" i="7"/>
  <c r="X55" i="7"/>
  <c r="X54" i="7"/>
  <c r="X58" i="7"/>
  <c r="X61" i="7"/>
  <c r="X66" i="7"/>
  <c r="X65" i="7"/>
  <c r="X77" i="7"/>
  <c r="X76" i="7"/>
  <c r="G48" i="7"/>
  <c r="A50" i="11"/>
  <c r="A51" i="11"/>
  <c r="A37" i="11"/>
  <c r="A38" i="11"/>
  <c r="A39" i="11"/>
  <c r="AD84" i="7"/>
  <c r="AD83" i="7"/>
  <c r="AE83" i="7"/>
  <c r="A17" i="1"/>
  <c r="A18" i="1"/>
  <c r="A19" i="1"/>
  <c r="A20" i="1"/>
  <c r="A21" i="1"/>
  <c r="R11" i="8"/>
  <c r="R10" i="8"/>
  <c r="D40" i="44"/>
  <c r="R17" i="20"/>
  <c r="R16" i="20"/>
  <c r="R15" i="20"/>
  <c r="R9" i="20"/>
  <c r="D45" i="44"/>
  <c r="R11" i="20"/>
  <c r="R10" i="20"/>
  <c r="D46" i="44"/>
  <c r="R11" i="16"/>
  <c r="R10" i="16"/>
  <c r="AG42" i="11"/>
  <c r="A29" i="11"/>
  <c r="A30" i="11"/>
  <c r="AF30" i="11"/>
  <c r="K22" i="3"/>
  <c r="P21" i="3"/>
  <c r="P20" i="3"/>
  <c r="A25" i="2"/>
  <c r="A26" i="2"/>
  <c r="A27" i="2"/>
  <c r="A28" i="2"/>
  <c r="A29" i="2"/>
  <c r="A30" i="2"/>
  <c r="A31" i="2"/>
  <c r="A32" i="2"/>
  <c r="A33" i="2"/>
  <c r="A34" i="2"/>
  <c r="A35" i="2"/>
  <c r="R9" i="27"/>
  <c r="A94" i="11"/>
  <c r="A95" i="11"/>
  <c r="A96" i="11"/>
  <c r="AD52" i="7"/>
  <c r="AE52" i="7"/>
  <c r="A53" i="7"/>
  <c r="AD53" i="7"/>
  <c r="AE53" i="7"/>
  <c r="AD56" i="7"/>
  <c r="AE56" i="7"/>
  <c r="AD59" i="7"/>
  <c r="AE59" i="7"/>
  <c r="A60" i="7"/>
  <c r="A62" i="7"/>
  <c r="A63" i="7"/>
  <c r="AD60" i="7"/>
  <c r="AJ62" i="7"/>
  <c r="AD62" i="7"/>
  <c r="AE62" i="7"/>
  <c r="AD63" i="7"/>
  <c r="AD67" i="7"/>
  <c r="A68" i="7"/>
  <c r="AD68" i="7"/>
  <c r="AD38" i="7"/>
  <c r="AE38" i="7"/>
  <c r="AD78" i="7"/>
  <c r="A79" i="7"/>
  <c r="AD79" i="7"/>
  <c r="AE79" i="7"/>
  <c r="AD42" i="7"/>
  <c r="AE42" i="7"/>
  <c r="AD36" i="7"/>
  <c r="AE36" i="7"/>
  <c r="AD33" i="7"/>
  <c r="AE33" i="7"/>
  <c r="AD29" i="7"/>
  <c r="AE29" i="7"/>
  <c r="AD27" i="7"/>
  <c r="AE27" i="7"/>
  <c r="AD18" i="7"/>
  <c r="AE18" i="7"/>
  <c r="AJ18" i="7"/>
  <c r="AD15" i="7"/>
  <c r="AE15" i="7"/>
  <c r="AJ15" i="7"/>
  <c r="A55" i="11"/>
  <c r="AJ52" i="7"/>
  <c r="AJ42" i="7"/>
  <c r="AJ36" i="7"/>
  <c r="J12" i="8"/>
  <c r="J11" i="8"/>
  <c r="J10" i="8"/>
  <c r="K11" i="8"/>
  <c r="K10" i="8"/>
  <c r="L11" i="8"/>
  <c r="L10" i="8"/>
  <c r="N10" i="8"/>
  <c r="O11" i="8"/>
  <c r="O10" i="8"/>
  <c r="P11" i="8"/>
  <c r="P10" i="8"/>
  <c r="Q11" i="8"/>
  <c r="Q10" i="8"/>
  <c r="H11" i="8"/>
  <c r="H10" i="8"/>
  <c r="K11" i="29"/>
  <c r="K10" i="29"/>
  <c r="K9" i="29"/>
  <c r="O21" i="3"/>
  <c r="O20" i="3"/>
  <c r="J12" i="20"/>
  <c r="J18" i="20"/>
  <c r="K17" i="20"/>
  <c r="K16" i="20"/>
  <c r="K15" i="20"/>
  <c r="K9" i="20"/>
  <c r="L17" i="20"/>
  <c r="L16" i="20"/>
  <c r="L15" i="20"/>
  <c r="M18" i="20"/>
  <c r="M17" i="20"/>
  <c r="M16" i="20"/>
  <c r="M15" i="20"/>
  <c r="M9" i="20"/>
  <c r="M12" i="20"/>
  <c r="M11" i="20"/>
  <c r="M10" i="20"/>
  <c r="O11" i="20"/>
  <c r="O10" i="20"/>
  <c r="I17" i="20"/>
  <c r="I16" i="20"/>
  <c r="I15" i="20"/>
  <c r="N17" i="20"/>
  <c r="N16" i="20"/>
  <c r="N15" i="20"/>
  <c r="N9" i="20"/>
  <c r="O17" i="20"/>
  <c r="O16" i="20"/>
  <c r="O15" i="20"/>
  <c r="O9" i="20"/>
  <c r="P17" i="20"/>
  <c r="P16" i="20"/>
  <c r="P15" i="20"/>
  <c r="Q17" i="20"/>
  <c r="Q16" i="20"/>
  <c r="Q15" i="20"/>
  <c r="Q9" i="20"/>
  <c r="H17" i="20"/>
  <c r="H16" i="20"/>
  <c r="H15" i="20"/>
  <c r="I11" i="20"/>
  <c r="I10" i="20"/>
  <c r="I9" i="20"/>
  <c r="K11" i="20"/>
  <c r="K10" i="20"/>
  <c r="L11" i="20"/>
  <c r="L10" i="20"/>
  <c r="N11" i="20"/>
  <c r="N10" i="20"/>
  <c r="P11" i="20"/>
  <c r="P10" i="20"/>
  <c r="P9" i="20"/>
  <c r="Q11" i="20"/>
  <c r="Q10" i="20"/>
  <c r="H11" i="20"/>
  <c r="H10" i="20"/>
  <c r="H9" i="20"/>
  <c r="Q12" i="29"/>
  <c r="U8" i="29"/>
  <c r="J11" i="29"/>
  <c r="J10" i="29"/>
  <c r="J9" i="29"/>
  <c r="N9" i="29"/>
  <c r="I11" i="29"/>
  <c r="I10" i="29"/>
  <c r="I9" i="29"/>
  <c r="H11" i="29"/>
  <c r="H10" i="29"/>
  <c r="H9" i="29"/>
  <c r="V8" i="29"/>
  <c r="W8" i="29"/>
  <c r="X8" i="29"/>
  <c r="AH8" i="29"/>
  <c r="Y8" i="29"/>
  <c r="Z8" i="29"/>
  <c r="AA8" i="29"/>
  <c r="AB8" i="29"/>
  <c r="AC8" i="29"/>
  <c r="AD8" i="29"/>
  <c r="AE8" i="29"/>
  <c r="AF8" i="29"/>
  <c r="AG8" i="29"/>
  <c r="T8" i="29"/>
  <c r="S8" i="29"/>
  <c r="U7" i="29"/>
  <c r="V7" i="29"/>
  <c r="W7" i="29"/>
  <c r="X7" i="29"/>
  <c r="Y7" i="29"/>
  <c r="Z7" i="29"/>
  <c r="AA7" i="29"/>
  <c r="AB7" i="29"/>
  <c r="AC7" i="29"/>
  <c r="AD7" i="29"/>
  <c r="AE7" i="29"/>
  <c r="AF7" i="29"/>
  <c r="AG7" i="29"/>
  <c r="T7" i="29"/>
  <c r="S7" i="29"/>
  <c r="Q11" i="16"/>
  <c r="Q10" i="16"/>
  <c r="Q9" i="16"/>
  <c r="L11" i="16"/>
  <c r="L10" i="16"/>
  <c r="L9" i="16"/>
  <c r="AJ8" i="11"/>
  <c r="I11" i="8"/>
  <c r="I10" i="8"/>
  <c r="Z8" i="27"/>
  <c r="U13" i="27"/>
  <c r="Y8" i="27"/>
  <c r="AK8" i="27"/>
  <c r="AJ8" i="27"/>
  <c r="AI8" i="27"/>
  <c r="AH8" i="27"/>
  <c r="AG8" i="27"/>
  <c r="AF8" i="27"/>
  <c r="AE8" i="27"/>
  <c r="AD8" i="27"/>
  <c r="AC8" i="27"/>
  <c r="AB8" i="27"/>
  <c r="AA8" i="27"/>
  <c r="X8" i="27"/>
  <c r="W8" i="27"/>
  <c r="AK7" i="27"/>
  <c r="AJ7" i="27"/>
  <c r="AI7" i="27"/>
  <c r="AH7" i="27"/>
  <c r="AG7" i="27"/>
  <c r="AF7" i="27"/>
  <c r="AE7" i="27"/>
  <c r="AD7" i="27"/>
  <c r="AC7" i="27"/>
  <c r="AB7" i="27"/>
  <c r="AA7" i="27"/>
  <c r="Z7" i="27"/>
  <c r="Y7" i="27"/>
  <c r="AL7" i="27"/>
  <c r="X7" i="27"/>
  <c r="W7" i="27"/>
  <c r="AK8" i="7"/>
  <c r="P11" i="16"/>
  <c r="P10" i="16"/>
  <c r="P9" i="16"/>
  <c r="O11" i="16"/>
  <c r="O10" i="16"/>
  <c r="O9" i="16"/>
  <c r="N11" i="16"/>
  <c r="N10" i="16"/>
  <c r="N9" i="16"/>
  <c r="N21" i="3"/>
  <c r="N20" i="3"/>
  <c r="AA9" i="20"/>
  <c r="AL7" i="1"/>
  <c r="AG25" i="2"/>
  <c r="AM9" i="20"/>
  <c r="AL9" i="20"/>
  <c r="AK9" i="20"/>
  <c r="AJ9" i="20"/>
  <c r="AI9" i="20"/>
  <c r="AH9" i="20"/>
  <c r="AG9" i="20"/>
  <c r="AF9" i="20"/>
  <c r="AE9" i="20"/>
  <c r="AD9" i="20"/>
  <c r="AC9" i="20"/>
  <c r="AB9" i="20"/>
  <c r="Y9" i="20"/>
  <c r="AM8" i="20"/>
  <c r="AL8" i="20"/>
  <c r="AK8" i="20"/>
  <c r="AJ8" i="20"/>
  <c r="AI8" i="20"/>
  <c r="AH8" i="20"/>
  <c r="AG8" i="20"/>
  <c r="AF8" i="20"/>
  <c r="AE8" i="20"/>
  <c r="AD8" i="20"/>
  <c r="AC8" i="20"/>
  <c r="AB8" i="20"/>
  <c r="AA8" i="20"/>
  <c r="AN8" i="20"/>
  <c r="Z8" i="20"/>
  <c r="Y8" i="20"/>
  <c r="Z9" i="20"/>
  <c r="AL8" i="2"/>
  <c r="W12" i="16"/>
  <c r="AD8" i="16"/>
  <c r="I11" i="16"/>
  <c r="I10" i="16"/>
  <c r="I9" i="16"/>
  <c r="H11" i="16"/>
  <c r="H10" i="16"/>
  <c r="H9" i="16"/>
  <c r="AL7" i="16"/>
  <c r="AI7" i="16"/>
  <c r="Y8" i="16"/>
  <c r="Y7" i="16"/>
  <c r="Z8" i="8"/>
  <c r="AG8" i="8"/>
  <c r="Y8" i="8"/>
  <c r="Z7" i="8"/>
  <c r="Y7" i="8"/>
  <c r="AN7" i="8"/>
  <c r="AT10" i="1"/>
  <c r="AR11" i="1"/>
  <c r="AR10" i="1"/>
  <c r="AN11" i="1"/>
  <c r="AN10" i="1"/>
  <c r="AT8" i="1"/>
  <c r="AZ11" i="1"/>
  <c r="AY11" i="1"/>
  <c r="AX11" i="1"/>
  <c r="AW11" i="1"/>
  <c r="AV11" i="1"/>
  <c r="AU11" i="1"/>
  <c r="AT11" i="1"/>
  <c r="AS11" i="1"/>
  <c r="AQ11" i="1"/>
  <c r="AP11" i="1"/>
  <c r="AO11" i="1"/>
  <c r="AZ10" i="1"/>
  <c r="AY10" i="1"/>
  <c r="AX10" i="1"/>
  <c r="AW10" i="1"/>
  <c r="AV10" i="1"/>
  <c r="AU10" i="1"/>
  <c r="AS10" i="1"/>
  <c r="AQ10" i="1"/>
  <c r="AP10" i="1"/>
  <c r="AO10" i="1"/>
  <c r="AL8" i="1"/>
  <c r="AS11" i="7"/>
  <c r="AQ11" i="7"/>
  <c r="AO11" i="7"/>
  <c r="BC9" i="7"/>
  <c r="BB9" i="7"/>
  <c r="BA9" i="7"/>
  <c r="AZ9" i="7"/>
  <c r="AY9" i="7"/>
  <c r="AX9" i="7"/>
  <c r="AW9" i="7"/>
  <c r="AV9" i="7"/>
  <c r="AT9" i="7"/>
  <c r="AR9" i="7"/>
  <c r="BC8" i="7"/>
  <c r="BB8" i="7"/>
  <c r="BA8" i="7"/>
  <c r="AZ8" i="7"/>
  <c r="AY8" i="7"/>
  <c r="AX8" i="7"/>
  <c r="AW8" i="7"/>
  <c r="AV8" i="7"/>
  <c r="AU8" i="7"/>
  <c r="AT8" i="7"/>
  <c r="AR8" i="7"/>
  <c r="AO9" i="7"/>
  <c r="AO8" i="7"/>
  <c r="AZ22" i="11"/>
  <c r="AY22" i="11"/>
  <c r="AX22" i="11"/>
  <c r="AW22" i="11"/>
  <c r="AV22" i="11"/>
  <c r="AU22" i="11"/>
  <c r="AT22" i="11"/>
  <c r="AS22" i="11"/>
  <c r="AR22" i="11"/>
  <c r="AQ22" i="11"/>
  <c r="AP22" i="11"/>
  <c r="AO22" i="11"/>
  <c r="AN22" i="11"/>
  <c r="AZ21" i="11"/>
  <c r="AY21" i="11"/>
  <c r="AX21" i="11"/>
  <c r="AW21" i="11"/>
  <c r="AV21" i="11"/>
  <c r="AU21" i="11"/>
  <c r="AT21" i="11"/>
  <c r="AS21" i="11"/>
  <c r="AR21" i="11"/>
  <c r="AQ21" i="11"/>
  <c r="AP21" i="11"/>
  <c r="AO21" i="11"/>
  <c r="AN21" i="11"/>
  <c r="AZ9" i="11"/>
  <c r="AY9" i="11"/>
  <c r="AX9" i="11"/>
  <c r="AW9" i="11"/>
  <c r="AV9" i="11"/>
  <c r="AL9" i="11"/>
  <c r="AZ8" i="11"/>
  <c r="AY8" i="11"/>
  <c r="AX8" i="11"/>
  <c r="AW8" i="11"/>
  <c r="AV8" i="11"/>
  <c r="AU8" i="11"/>
  <c r="AT8" i="11"/>
  <c r="AS8" i="11"/>
  <c r="AL8" i="11"/>
  <c r="AK20" i="3"/>
  <c r="AJ20" i="3"/>
  <c r="AI20" i="3"/>
  <c r="AH20" i="3"/>
  <c r="AG20" i="3"/>
  <c r="AF20" i="3"/>
  <c r="AE20" i="3"/>
  <c r="Y20" i="3"/>
  <c r="Z20" i="3"/>
  <c r="AA20" i="3"/>
  <c r="AB20" i="3"/>
  <c r="AC20" i="3"/>
  <c r="AD20" i="3"/>
  <c r="AK9" i="3"/>
  <c r="AJ9" i="3"/>
  <c r="AI9" i="3"/>
  <c r="AH9" i="3"/>
  <c r="AG9" i="3"/>
  <c r="AF9" i="3"/>
  <c r="AE9" i="3"/>
  <c r="AD9" i="3"/>
  <c r="AC9" i="3"/>
  <c r="AB9" i="3"/>
  <c r="AA9" i="3"/>
  <c r="Z9" i="3"/>
  <c r="W9" i="3"/>
  <c r="AK8" i="3"/>
  <c r="AJ8" i="3"/>
  <c r="AI8" i="3"/>
  <c r="AH8" i="3"/>
  <c r="AG8" i="3"/>
  <c r="AF8" i="3"/>
  <c r="AE8" i="3"/>
  <c r="AD8" i="3"/>
  <c r="AC8" i="3"/>
  <c r="AB8" i="3"/>
  <c r="AA8" i="3"/>
  <c r="Z8" i="3"/>
  <c r="Y8" i="3"/>
  <c r="X8" i="3"/>
  <c r="W8" i="3"/>
  <c r="AW11" i="2"/>
  <c r="AO11" i="2"/>
  <c r="AO10" i="2"/>
  <c r="AN10" i="2"/>
  <c r="AN11" i="2"/>
  <c r="AL7" i="2"/>
  <c r="AZ11" i="2"/>
  <c r="AY11" i="2"/>
  <c r="AX11" i="2"/>
  <c r="AV11" i="2"/>
  <c r="AU11" i="2"/>
  <c r="AT11" i="2"/>
  <c r="AS11" i="2"/>
  <c r="AR11" i="2"/>
  <c r="AQ11" i="2"/>
  <c r="AP11" i="2"/>
  <c r="AZ10" i="2"/>
  <c r="AY10" i="2"/>
  <c r="AX10" i="2"/>
  <c r="AW10" i="2"/>
  <c r="AV10" i="2"/>
  <c r="AU10" i="2"/>
  <c r="AT10" i="2"/>
  <c r="AS10" i="2"/>
  <c r="AR10" i="2"/>
  <c r="AQ10" i="2"/>
  <c r="AP10" i="2"/>
  <c r="U22" i="3"/>
  <c r="X9" i="3"/>
  <c r="AY8" i="2"/>
  <c r="AU8" i="2"/>
  <c r="AS8" i="2"/>
  <c r="AR8" i="2"/>
  <c r="AQ8" i="2"/>
  <c r="AP8" i="2"/>
  <c r="AZ7" i="2"/>
  <c r="AY7" i="2"/>
  <c r="AV7" i="2"/>
  <c r="AU7" i="2"/>
  <c r="AT7" i="2"/>
  <c r="AS7" i="2"/>
  <c r="AQ7" i="2"/>
  <c r="AP7" i="2"/>
  <c r="AX7" i="2"/>
  <c r="AR7" i="2"/>
  <c r="J21" i="3"/>
  <c r="J20" i="3"/>
  <c r="L21" i="3"/>
  <c r="L20" i="3"/>
  <c r="H21" i="3"/>
  <c r="H20" i="3"/>
  <c r="I21" i="3"/>
  <c r="I20" i="3"/>
  <c r="A58" i="11"/>
  <c r="A59" i="11"/>
  <c r="A60" i="11"/>
  <c r="A61" i="11"/>
  <c r="M21" i="3"/>
  <c r="M20" i="3"/>
  <c r="AD14" i="2"/>
  <c r="AD16" i="2"/>
  <c r="AD17" i="2"/>
  <c r="Z7" i="16"/>
  <c r="AD7" i="16"/>
  <c r="AN7" i="16"/>
  <c r="AS8" i="7"/>
  <c r="AG28" i="11"/>
  <c r="AH8" i="11"/>
  <c r="AG58" i="11"/>
  <c r="AG73" i="11"/>
  <c r="AG70" i="11"/>
  <c r="AI8" i="11"/>
  <c r="AG54" i="11"/>
  <c r="AQ8" i="11"/>
  <c r="AG51" i="11"/>
  <c r="AM8" i="7"/>
  <c r="AP8" i="11"/>
  <c r="AR8" i="11"/>
  <c r="J17" i="20"/>
  <c r="J16" i="20"/>
  <c r="J15" i="20"/>
  <c r="J11" i="20"/>
  <c r="J10" i="20"/>
  <c r="Z8" i="16"/>
  <c r="AL8" i="16"/>
  <c r="AI8" i="16"/>
  <c r="AN8" i="16"/>
  <c r="J12" i="16"/>
  <c r="J11" i="16"/>
  <c r="J10" i="16"/>
  <c r="J9" i="16"/>
  <c r="K11" i="16"/>
  <c r="K10" i="16"/>
  <c r="K9" i="16"/>
  <c r="AH8" i="8"/>
  <c r="AN8" i="8"/>
  <c r="AR8" i="1"/>
  <c r="AT7" i="1"/>
  <c r="AG26" i="2"/>
  <c r="AG28" i="2"/>
  <c r="AG30" i="2"/>
  <c r="AG34" i="2"/>
  <c r="AH8" i="2"/>
  <c r="AG46" i="2"/>
  <c r="AZ8" i="2"/>
  <c r="AO7" i="2"/>
  <c r="AV8" i="2"/>
  <c r="AG37" i="2"/>
  <c r="AO8" i="2"/>
  <c r="AW7" i="2"/>
  <c r="AG51" i="2"/>
  <c r="AJ8" i="2"/>
  <c r="AT9" i="11"/>
  <c r="AQ8" i="7"/>
  <c r="AP8" i="7"/>
  <c r="AM7" i="2"/>
  <c r="AN7" i="2"/>
  <c r="M12" i="16"/>
  <c r="M11" i="16"/>
  <c r="M10" i="16"/>
  <c r="M9" i="16"/>
  <c r="D49" i="44"/>
  <c r="Z32" i="7"/>
  <c r="Z31" i="7"/>
  <c r="Z58" i="7"/>
  <c r="J28" i="7"/>
  <c r="J26" i="7"/>
  <c r="J25" i="7"/>
  <c r="AF79" i="7"/>
  <c r="Z61" i="7"/>
  <c r="J22" i="7"/>
  <c r="Z66" i="7"/>
  <c r="Z65" i="7"/>
  <c r="J14" i="7"/>
  <c r="J13" i="7"/>
  <c r="J17" i="7"/>
  <c r="J16" i="7"/>
  <c r="J19" i="7"/>
  <c r="J12" i="7"/>
  <c r="Z44" i="7"/>
  <c r="Z43" i="7"/>
  <c r="Z51" i="7"/>
  <c r="Z50" i="7"/>
  <c r="J41" i="7"/>
  <c r="Z55" i="7"/>
  <c r="Z54" i="7"/>
  <c r="H19" i="7"/>
  <c r="AG38" i="11"/>
  <c r="AF47" i="11"/>
  <c r="AG74" i="11"/>
  <c r="AG43" i="11"/>
  <c r="AG39" i="11"/>
  <c r="AD40" i="2"/>
  <c r="AD29" i="2"/>
  <c r="AD25" i="2"/>
  <c r="I45" i="34"/>
  <c r="I27" i="34"/>
  <c r="I26" i="34"/>
  <c r="H12" i="34"/>
  <c r="H11" i="34"/>
  <c r="H10" i="34"/>
  <c r="H9" i="34"/>
  <c r="U18" i="34"/>
  <c r="Y19" i="34"/>
  <c r="W18" i="34"/>
  <c r="AH9" i="34"/>
  <c r="AG18" i="34"/>
  <c r="S23" i="34"/>
  <c r="AJ78" i="7"/>
  <c r="AJ59" i="7"/>
  <c r="N19" i="7"/>
  <c r="Y9" i="3"/>
  <c r="AN9" i="11"/>
  <c r="AF36" i="11"/>
  <c r="Z18" i="34"/>
  <c r="AE18" i="34"/>
  <c r="S13" i="34"/>
  <c r="J9" i="20"/>
  <c r="AJ27" i="7"/>
  <c r="AJ84" i="7"/>
  <c r="J44" i="7"/>
  <c r="AJ60" i="7"/>
  <c r="AJ68" i="7"/>
  <c r="R19" i="7"/>
  <c r="AW8" i="2"/>
  <c r="AJ83" i="7"/>
  <c r="AJ67" i="7"/>
  <c r="S12" i="34"/>
  <c r="AG16" i="1"/>
  <c r="AR7" i="1"/>
  <c r="AF53" i="7"/>
  <c r="AJ53" i="7"/>
  <c r="AG52" i="11"/>
  <c r="K57" i="7"/>
  <c r="J58" i="7"/>
  <c r="V18" i="34"/>
  <c r="AG63" i="11"/>
  <c r="AS9" i="11"/>
  <c r="AG49" i="11"/>
  <c r="K21" i="3"/>
  <c r="K20" i="3"/>
  <c r="AN9" i="20"/>
  <c r="AT8" i="2"/>
  <c r="AJ79" i="7"/>
  <c r="U22" i="7"/>
  <c r="J32" i="7"/>
  <c r="AJ33" i="7"/>
  <c r="AA19" i="34"/>
  <c r="AA18" i="34"/>
  <c r="AD19" i="34"/>
  <c r="AD18" i="34"/>
  <c r="AB19" i="34"/>
  <c r="AB18" i="34"/>
  <c r="AG55" i="11"/>
  <c r="X57" i="7"/>
  <c r="J55" i="7"/>
  <c r="U28" i="7"/>
  <c r="I12" i="34"/>
  <c r="I11" i="34"/>
  <c r="I10" i="34"/>
  <c r="I9" i="34"/>
  <c r="AG59" i="11"/>
  <c r="AJ29" i="7"/>
  <c r="AQ9" i="7"/>
  <c r="AJ38" i="7"/>
  <c r="AJ56" i="7"/>
  <c r="U41" i="7"/>
  <c r="U40" i="7"/>
  <c r="X19" i="34"/>
  <c r="X18" i="34"/>
  <c r="AF19" i="34"/>
  <c r="AF18" i="34"/>
  <c r="S57" i="7"/>
  <c r="S49" i="7"/>
  <c r="V40" i="7"/>
  <c r="V39" i="7"/>
  <c r="S19" i="7"/>
  <c r="S12" i="7"/>
  <c r="M19" i="7"/>
  <c r="K40" i="7"/>
  <c r="W57" i="7"/>
  <c r="J66" i="7"/>
  <c r="O57" i="7"/>
  <c r="O49" i="7"/>
  <c r="J61" i="7"/>
  <c r="J57" i="7"/>
  <c r="AJ63" i="7"/>
  <c r="AF47" i="7"/>
  <c r="AF46" i="7"/>
  <c r="J51" i="7"/>
  <c r="L57" i="7"/>
  <c r="T57" i="7"/>
  <c r="J77" i="7"/>
  <c r="M57" i="7"/>
  <c r="X19" i="7"/>
  <c r="O19" i="7"/>
  <c r="T19" i="7"/>
  <c r="AF84" i="7"/>
  <c r="AF62" i="7"/>
  <c r="I57" i="7"/>
  <c r="P19" i="7"/>
  <c r="P57" i="7"/>
  <c r="L64" i="7"/>
  <c r="AD28" i="2"/>
  <c r="K30" i="7"/>
  <c r="Q30" i="7"/>
  <c r="AF60" i="7"/>
  <c r="AF63" i="7"/>
  <c r="AF68" i="7"/>
  <c r="AF52" i="7"/>
  <c r="N39" i="7"/>
  <c r="D22" i="44"/>
  <c r="J10" i="34"/>
  <c r="J9" i="34"/>
  <c r="M11" i="34"/>
  <c r="AG29" i="2"/>
  <c r="AN8" i="2"/>
  <c r="AD24" i="2"/>
  <c r="AD32" i="2"/>
  <c r="AD33" i="2"/>
  <c r="AD34" i="2"/>
  <c r="AD36" i="2"/>
  <c r="AD37" i="2"/>
  <c r="AD38" i="2"/>
  <c r="AD39" i="2"/>
  <c r="AD41" i="2"/>
  <c r="AD44" i="2"/>
  <c r="AD46" i="2"/>
  <c r="AD47" i="2"/>
  <c r="AD48" i="2"/>
  <c r="AD51" i="2"/>
  <c r="AD19" i="2"/>
  <c r="J65" i="7"/>
  <c r="J43" i="7"/>
  <c r="U17" i="7"/>
  <c r="Z17" i="7"/>
  <c r="Z16" i="7"/>
  <c r="Z28" i="7"/>
  <c r="J50" i="7"/>
  <c r="AC22" i="7"/>
  <c r="J31" i="7"/>
  <c r="Z41" i="7"/>
  <c r="Z40" i="7"/>
  <c r="Z14" i="7"/>
  <c r="Z13" i="7"/>
  <c r="Z26" i="7"/>
  <c r="Z25" i="7"/>
  <c r="Z24" i="7"/>
  <c r="Z77" i="7"/>
  <c r="Z76" i="7"/>
  <c r="D53" i="44"/>
  <c r="D10" i="44"/>
  <c r="G10" i="44"/>
  <c r="M12" i="8"/>
  <c r="M11" i="8"/>
  <c r="M10" i="8"/>
  <c r="AF36" i="7"/>
  <c r="U26" i="7"/>
  <c r="U25" i="7"/>
  <c r="U24" i="7"/>
  <c r="AX8" i="2"/>
  <c r="AF18" i="7"/>
  <c r="AU9" i="7"/>
  <c r="U44" i="7"/>
  <c r="U43" i="7"/>
  <c r="AF15" i="7"/>
  <c r="AF78" i="7"/>
  <c r="AF67" i="7"/>
  <c r="U66" i="7"/>
  <c r="U65" i="7"/>
  <c r="AC37" i="7"/>
  <c r="AF38" i="7"/>
  <c r="AF83" i="7"/>
  <c r="AF56" i="7"/>
  <c r="U61" i="7"/>
  <c r="AF59" i="7"/>
  <c r="U55" i="7"/>
  <c r="U54" i="7"/>
  <c r="U58" i="7"/>
  <c r="AF29" i="7"/>
  <c r="U77" i="7"/>
  <c r="U76" i="7"/>
  <c r="U14" i="7"/>
  <c r="U13" i="7"/>
  <c r="AF27" i="7"/>
  <c r="U51" i="7"/>
  <c r="AC51" i="7"/>
  <c r="D32" i="44"/>
  <c r="AF42" i="7"/>
  <c r="AF33" i="7"/>
  <c r="U32" i="7"/>
  <c r="U31" i="7"/>
  <c r="AF45" i="7"/>
  <c r="M9" i="27"/>
  <c r="O9" i="27"/>
  <c r="H9" i="27"/>
  <c r="M9" i="36"/>
  <c r="D57" i="44"/>
  <c r="D58" i="44"/>
  <c r="K15" i="1"/>
  <c r="AD21" i="1"/>
  <c r="U15" i="1"/>
  <c r="U10" i="1"/>
  <c r="U9" i="1"/>
  <c r="J15" i="1"/>
  <c r="AD18" i="1"/>
  <c r="AD16" i="1"/>
  <c r="AD19" i="1"/>
  <c r="AG13" i="1"/>
  <c r="AM8" i="1"/>
  <c r="AD11" i="1"/>
  <c r="AD12" i="1"/>
  <c r="AD20" i="1"/>
  <c r="AM7" i="1"/>
  <c r="D37" i="44"/>
  <c r="AD17" i="1"/>
  <c r="AH7" i="1"/>
  <c r="AD13" i="1"/>
  <c r="AL10" i="1"/>
  <c r="AL9" i="3"/>
  <c r="AL8" i="3"/>
  <c r="I64" i="7"/>
  <c r="I49" i="7"/>
  <c r="AC81" i="7"/>
  <c r="U39" i="7"/>
  <c r="U50" i="7"/>
  <c r="N64" i="7"/>
  <c r="N57" i="7"/>
  <c r="N49" i="7"/>
  <c r="N48" i="7"/>
  <c r="AC84" i="7"/>
  <c r="U30" i="7"/>
  <c r="K49" i="7"/>
  <c r="I19" i="7"/>
  <c r="Q25" i="7"/>
  <c r="Q24" i="7"/>
  <c r="U19" i="7"/>
  <c r="AC19" i="7"/>
  <c r="P12" i="7"/>
  <c r="W49" i="7"/>
  <c r="Q64" i="7"/>
  <c r="T12" i="7"/>
  <c r="T25" i="7"/>
  <c r="T24" i="7"/>
  <c r="T30" i="7"/>
  <c r="T39" i="7"/>
  <c r="T11" i="7"/>
  <c r="P64" i="7"/>
  <c r="L49" i="7"/>
  <c r="L48" i="7"/>
  <c r="O39" i="7"/>
  <c r="AC83" i="7"/>
  <c r="AC13" i="7"/>
  <c r="Y64" i="7"/>
  <c r="AC18" i="7"/>
  <c r="T64" i="7"/>
  <c r="S25" i="7"/>
  <c r="S24" i="7"/>
  <c r="AC31" i="7"/>
  <c r="Z39" i="7"/>
  <c r="Z57" i="7"/>
  <c r="W64" i="7"/>
  <c r="H64" i="7"/>
  <c r="H57" i="7"/>
  <c r="H49" i="7"/>
  <c r="H48" i="7"/>
  <c r="N12" i="7"/>
  <c r="N11" i="7"/>
  <c r="L39" i="7"/>
  <c r="AC41" i="7"/>
  <c r="U64" i="7"/>
  <c r="J40" i="7"/>
  <c r="M39" i="7"/>
  <c r="I39" i="7"/>
  <c r="AC66" i="7"/>
  <c r="I12" i="7"/>
  <c r="AC38" i="7"/>
  <c r="AC20" i="7"/>
  <c r="V11" i="7"/>
  <c r="I11" i="7"/>
  <c r="K39" i="7"/>
  <c r="L12" i="7"/>
  <c r="S39" i="7"/>
  <c r="X39" i="7"/>
  <c r="H25" i="7"/>
  <c r="H24" i="7"/>
  <c r="U57" i="7"/>
  <c r="AC57" i="7"/>
  <c r="Z12" i="7"/>
  <c r="P49" i="7"/>
  <c r="H12" i="7"/>
  <c r="V64" i="7"/>
  <c r="X64" i="7"/>
  <c r="K64" i="7"/>
  <c r="R12" i="7"/>
  <c r="Q12" i="7"/>
  <c r="AC71" i="7"/>
  <c r="AC21" i="7"/>
  <c r="Z49" i="7"/>
  <c r="X30" i="7"/>
  <c r="AC26" i="7"/>
  <c r="AC82" i="7"/>
  <c r="R64" i="7"/>
  <c r="AC27" i="7"/>
  <c r="AC80" i="7"/>
  <c r="X49" i="7"/>
  <c r="V57" i="7"/>
  <c r="L30" i="7"/>
  <c r="AC15" i="7"/>
  <c r="S64" i="7"/>
  <c r="S48" i="7"/>
  <c r="X12" i="7"/>
  <c r="W12" i="7"/>
  <c r="Q39" i="7"/>
  <c r="H39" i="7"/>
  <c r="AC32" i="7"/>
  <c r="AC35" i="7"/>
  <c r="Z30" i="7"/>
  <c r="R39" i="7"/>
  <c r="AC45" i="7"/>
  <c r="AL8" i="7"/>
  <c r="T49" i="7"/>
  <c r="P30" i="7"/>
  <c r="P11" i="7"/>
  <c r="K12" i="7"/>
  <c r="K11" i="7"/>
  <c r="AJ75" i="7"/>
  <c r="AP9" i="7"/>
  <c r="Y39" i="7"/>
  <c r="Q57" i="7"/>
  <c r="Q49" i="7"/>
  <c r="Q48" i="7"/>
  <c r="M64" i="7"/>
  <c r="H30" i="7"/>
  <c r="AC61" i="7"/>
  <c r="AC14" i="7"/>
  <c r="AC58" i="7"/>
  <c r="AC28" i="7"/>
  <c r="AC34" i="7"/>
  <c r="O64" i="7"/>
  <c r="O48" i="7"/>
  <c r="W39" i="7"/>
  <c r="AC53" i="7"/>
  <c r="AD51" i="11"/>
  <c r="AC65" i="7"/>
  <c r="AC25" i="7"/>
  <c r="BA7" i="1"/>
  <c r="AL11" i="1"/>
  <c r="N19" i="3"/>
  <c r="N9" i="3"/>
  <c r="P19" i="3"/>
  <c r="D17" i="44"/>
  <c r="M12" i="7"/>
  <c r="M11" i="7"/>
  <c r="T8" i="34"/>
  <c r="U8" i="34"/>
  <c r="AH8" i="34"/>
  <c r="S18" i="34"/>
  <c r="J76" i="7"/>
  <c r="AC76" i="7"/>
  <c r="AC77" i="7"/>
  <c r="J54" i="7"/>
  <c r="AC55" i="7"/>
  <c r="AI7" i="1"/>
  <c r="AH7" i="29"/>
  <c r="AC50" i="7"/>
  <c r="AI8" i="2"/>
  <c r="J39" i="7"/>
  <c r="AC39" i="7"/>
  <c r="AC40" i="7"/>
  <c r="K48" i="7"/>
  <c r="J19" i="3"/>
  <c r="J9" i="3"/>
  <c r="AL8" i="27"/>
  <c r="AS9" i="7"/>
  <c r="BD9" i="7"/>
  <c r="V49" i="7"/>
  <c r="T48" i="7"/>
  <c r="R49" i="7"/>
  <c r="M49" i="7"/>
  <c r="M48" i="7"/>
  <c r="M19" i="3"/>
  <c r="M9" i="3"/>
  <c r="AD11" i="2"/>
  <c r="J30" i="7"/>
  <c r="AC17" i="7"/>
  <c r="W20" i="3"/>
  <c r="U49" i="7"/>
  <c r="J24" i="7"/>
  <c r="AC24" i="7"/>
  <c r="U16" i="7"/>
  <c r="AC43" i="7"/>
  <c r="AN8" i="1"/>
  <c r="BA8" i="1"/>
  <c r="S11" i="7"/>
  <c r="D41" i="44"/>
  <c r="H19" i="3"/>
  <c r="H9" i="3"/>
  <c r="L9" i="20"/>
  <c r="R9" i="16"/>
  <c r="D43" i="44"/>
  <c r="D44" i="44"/>
  <c r="O12" i="7"/>
  <c r="O11" i="7"/>
  <c r="O12" i="41"/>
  <c r="O11" i="41"/>
  <c r="O10" i="41"/>
  <c r="O9" i="41"/>
  <c r="K11" i="41"/>
  <c r="K10" i="41"/>
  <c r="K9" i="41"/>
  <c r="K19" i="3"/>
  <c r="K9" i="3"/>
  <c r="AQ9" i="11"/>
  <c r="AD18" i="2"/>
  <c r="AD15" i="2"/>
  <c r="I19" i="3"/>
  <c r="I9" i="3"/>
  <c r="L19" i="3"/>
  <c r="L9" i="3"/>
  <c r="BD8" i="7"/>
  <c r="O19" i="3"/>
  <c r="O9" i="3"/>
  <c r="AC44" i="7"/>
  <c r="AM8" i="2"/>
  <c r="AD13" i="2"/>
  <c r="AU9" i="11"/>
  <c r="K10" i="34"/>
  <c r="Y25" i="7"/>
  <c r="Y24" i="7"/>
  <c r="Y11" i="7"/>
  <c r="AC67" i="7"/>
  <c r="AC47" i="7"/>
  <c r="P9" i="27"/>
  <c r="D52" i="44"/>
  <c r="L9" i="27"/>
  <c r="P10" i="3"/>
  <c r="AC75" i="7"/>
  <c r="K26" i="34"/>
  <c r="L9" i="29"/>
  <c r="D55" i="44"/>
  <c r="AD40" i="11"/>
  <c r="Y57" i="7"/>
  <c r="Y49" i="7"/>
  <c r="AC79" i="7"/>
  <c r="J11" i="27"/>
  <c r="J10" i="27"/>
  <c r="J9" i="27"/>
  <c r="I9" i="27"/>
  <c r="D13" i="44"/>
  <c r="G13" i="44"/>
  <c r="AC70" i="7"/>
  <c r="AC59" i="7"/>
  <c r="AC33" i="7"/>
  <c r="AC78" i="7"/>
  <c r="AD59" i="11"/>
  <c r="AD71" i="11"/>
  <c r="AB9" i="2"/>
  <c r="AD47" i="11"/>
  <c r="AD21" i="11"/>
  <c r="AD35" i="11"/>
  <c r="AD37" i="11"/>
  <c r="AD65" i="11"/>
  <c r="AR9" i="11"/>
  <c r="AD58" i="11"/>
  <c r="AD55" i="11"/>
  <c r="AD24" i="11"/>
  <c r="AD70" i="11"/>
  <c r="AD61" i="11"/>
  <c r="AD52" i="11"/>
  <c r="AD94" i="11"/>
  <c r="AO8" i="11"/>
  <c r="AD54" i="11"/>
  <c r="AD18" i="11"/>
  <c r="AD12" i="11"/>
  <c r="AD74" i="11"/>
  <c r="AF35" i="11"/>
  <c r="AD36" i="11"/>
  <c r="AD66" i="11"/>
  <c r="AD45" i="11"/>
  <c r="AD63" i="11"/>
  <c r="AD44" i="11"/>
  <c r="AD15" i="11"/>
  <c r="AD41" i="11"/>
  <c r="D30" i="44"/>
  <c r="AD82" i="11"/>
  <c r="D36" i="44"/>
  <c r="AD89" i="11"/>
  <c r="AD81" i="11"/>
  <c r="AG44" i="11"/>
  <c r="AD42" i="11"/>
  <c r="AD67" i="11"/>
  <c r="AD53" i="11"/>
  <c r="AD60" i="11"/>
  <c r="AD48" i="11"/>
  <c r="AD95" i="11"/>
  <c r="AD38" i="11"/>
  <c r="AD33" i="11"/>
  <c r="AG45" i="11"/>
  <c r="AD96" i="11"/>
  <c r="AD83" i="11"/>
  <c r="AD62" i="11"/>
  <c r="AO9" i="11"/>
  <c r="AD49" i="11"/>
  <c r="AD93" i="11"/>
  <c r="AD16" i="11"/>
  <c r="AD13" i="11"/>
  <c r="AD23" i="11"/>
  <c r="AD17" i="11"/>
  <c r="AD11" i="11"/>
  <c r="AD20" i="11"/>
  <c r="AD29" i="11"/>
  <c r="AD31" i="11"/>
  <c r="AD32" i="11"/>
  <c r="AD50" i="11"/>
  <c r="AG50" i="11"/>
  <c r="AP9" i="11"/>
  <c r="AD57" i="11"/>
  <c r="AD46" i="11"/>
  <c r="AN8" i="11"/>
  <c r="AD30" i="11"/>
  <c r="AM8" i="11"/>
  <c r="AD28" i="11"/>
  <c r="AL21" i="11"/>
  <c r="AL22" i="11"/>
  <c r="AD14" i="11"/>
  <c r="BA8" i="2"/>
  <c r="BA7" i="2"/>
  <c r="AL10" i="2"/>
  <c r="AL11" i="2"/>
  <c r="AD12" i="2"/>
  <c r="AD15" i="1"/>
  <c r="P48" i="7"/>
  <c r="W48" i="7"/>
  <c r="U48" i="7"/>
  <c r="Z11" i="7"/>
  <c r="D25" i="44"/>
  <c r="AC30" i="7"/>
  <c r="I48" i="7"/>
  <c r="Y48" i="7"/>
  <c r="Q11" i="7"/>
  <c r="R48" i="7"/>
  <c r="V48" i="7"/>
  <c r="R11" i="7"/>
  <c r="H11" i="7"/>
  <c r="X48" i="7"/>
  <c r="L11" i="7"/>
  <c r="W11" i="7"/>
  <c r="X11" i="7"/>
  <c r="D26" i="44"/>
  <c r="J11" i="7"/>
  <c r="D12" i="44"/>
  <c r="G12" i="44"/>
  <c r="G11" i="44"/>
  <c r="G9" i="44"/>
  <c r="P9" i="3"/>
  <c r="D15" i="44"/>
  <c r="D16" i="44"/>
  <c r="G16" i="44"/>
  <c r="K9" i="34"/>
  <c r="AD64" i="11"/>
  <c r="AC16" i="7"/>
  <c r="U12" i="7"/>
  <c r="AD10" i="1"/>
  <c r="J49" i="7"/>
  <c r="AC54" i="7"/>
  <c r="D29" i="44"/>
  <c r="D28" i="44"/>
  <c r="AM9" i="11"/>
  <c r="BA8" i="11"/>
  <c r="AD56" i="11"/>
  <c r="AD72" i="11"/>
  <c r="AD10" i="11"/>
  <c r="BA9" i="11"/>
  <c r="AD92" i="11"/>
  <c r="AD34" i="11"/>
  <c r="AD27" i="11"/>
  <c r="AD10" i="2"/>
  <c r="D9" i="44"/>
  <c r="D24" i="44"/>
  <c r="G24" i="44"/>
  <c r="G15" i="44"/>
  <c r="J64" i="7"/>
  <c r="AC64" i="7"/>
  <c r="AC69" i="7"/>
  <c r="U11" i="7"/>
  <c r="AC12" i="7"/>
  <c r="AC49" i="7"/>
  <c r="AD90" i="11"/>
  <c r="AD91" i="11"/>
  <c r="AD26" i="11"/>
  <c r="D7" i="44"/>
  <c r="AD9" i="2"/>
  <c r="D21" i="44"/>
  <c r="F21" i="44"/>
  <c r="J48" i="7"/>
  <c r="AC48" i="7"/>
  <c r="AD22" i="11"/>
  <c r="AC11" i="7"/>
  <c r="G7" i="44"/>
  <c r="AD9" i="11"/>
  <c r="D19" i="44"/>
  <c r="D6" i="44"/>
  <c r="AD19" i="11"/>
</calcChain>
</file>

<file path=xl/comments1.xml><?xml version="1.0" encoding="utf-8"?>
<comments xmlns="http://schemas.openxmlformats.org/spreadsheetml/2006/main">
  <authors>
    <author>th5</author>
  </authors>
  <commentList>
    <comment ref="I20" authorId="0">
      <text>
        <r>
          <rPr>
            <b/>
            <sz val="9"/>
            <color indexed="81"/>
            <rFont val="Tahoma"/>
            <family val="2"/>
            <charset val="163"/>
          </rPr>
          <t>th5:</t>
        </r>
        <r>
          <rPr>
            <sz val="9"/>
            <color indexed="81"/>
            <rFont val="Tahoma"/>
            <family val="2"/>
            <charset val="163"/>
          </rPr>
          <t xml:space="preserve">
</t>
        </r>
        <r>
          <rPr>
            <sz val="14"/>
            <color indexed="81"/>
            <rFont val="Tahoma"/>
            <family val="2"/>
            <charset val="163"/>
          </rPr>
          <t>Điều chỉnh CTĐT</t>
        </r>
      </text>
    </comment>
    <comment ref="I21" authorId="0">
      <text>
        <r>
          <rPr>
            <b/>
            <sz val="9"/>
            <color indexed="8"/>
            <rFont val="Tahoma"/>
            <family val="2"/>
            <charset val="163"/>
          </rPr>
          <t>th5:</t>
        </r>
        <r>
          <rPr>
            <sz val="9"/>
            <color indexed="8"/>
            <rFont val="Tahoma"/>
            <family val="2"/>
            <charset val="163"/>
          </rPr>
          <t xml:space="preserve">
</t>
        </r>
        <r>
          <rPr>
            <sz val="14"/>
            <color indexed="8"/>
            <rFont val="Tahoma"/>
            <family val="2"/>
            <charset val="163"/>
          </rPr>
          <t>Điều chỉnh CTĐT</t>
        </r>
      </text>
    </comment>
    <comment ref="I29" authorId="0">
      <text>
        <r>
          <rPr>
            <b/>
            <sz val="9"/>
            <color indexed="8"/>
            <rFont val="Tahoma"/>
            <family val="2"/>
            <charset val="163"/>
          </rPr>
          <t>th5:</t>
        </r>
        <r>
          <rPr>
            <sz val="9"/>
            <color indexed="8"/>
            <rFont val="Tahoma"/>
            <family val="2"/>
            <charset val="163"/>
          </rPr>
          <t xml:space="preserve">
</t>
        </r>
        <r>
          <rPr>
            <sz val="14"/>
            <color indexed="8"/>
            <rFont val="Tahoma"/>
            <family val="2"/>
            <charset val="163"/>
          </rPr>
          <t>Điều chỉnh CTĐT</t>
        </r>
      </text>
    </comment>
    <comment ref="V32" authorId="0">
      <text>
        <r>
          <rPr>
            <b/>
            <sz val="9"/>
            <color indexed="81"/>
            <rFont val="Tahoma"/>
            <family val="2"/>
            <charset val="163"/>
          </rPr>
          <t>th5:</t>
        </r>
        <r>
          <rPr>
            <sz val="9"/>
            <color indexed="81"/>
            <rFont val="Tahoma"/>
            <family val="2"/>
            <charset val="163"/>
          </rPr>
          <t xml:space="preserve">
</t>
        </r>
        <r>
          <rPr>
            <sz val="14"/>
            <color indexed="81"/>
            <rFont val="Tahoma"/>
            <family val="2"/>
            <charset val="163"/>
          </rPr>
          <t>Điều chỉnh KH năm 2021</t>
        </r>
      </text>
    </comment>
  </commentList>
</comments>
</file>

<file path=xl/sharedStrings.xml><?xml version="1.0" encoding="utf-8"?>
<sst xmlns="http://schemas.openxmlformats.org/spreadsheetml/2006/main" count="2725" uniqueCount="1012">
  <si>
    <t>ĐVT: Triệu đồng</t>
  </si>
  <si>
    <t>STT</t>
  </si>
  <si>
    <t>Danh mục dự án</t>
  </si>
  <si>
    <t>Địa điểm XD</t>
  </si>
  <si>
    <t>Năng lực thiết kế hoặc quy mô dự án</t>
  </si>
  <si>
    <t>GĐ thực hiện DA</t>
  </si>
  <si>
    <t>Ghi chú</t>
  </si>
  <si>
    <t>Số quyết định; ngày tháng, năm ban hành</t>
  </si>
  <si>
    <t>Tổng mức đầu tư</t>
  </si>
  <si>
    <t>Tổng số</t>
  </si>
  <si>
    <t>Trong đó:</t>
  </si>
  <si>
    <t xml:space="preserve">Tổng số </t>
  </si>
  <si>
    <t>Trong đó: Vốn Đài PTTH</t>
  </si>
  <si>
    <t>Năm 2021</t>
  </si>
  <si>
    <t>I</t>
  </si>
  <si>
    <t>Dự án chuyển tiếp</t>
  </si>
  <si>
    <t>a</t>
  </si>
  <si>
    <t>Thành phố Vĩnh Long</t>
  </si>
  <si>
    <t>Huyện Bình Tân</t>
  </si>
  <si>
    <t>C</t>
  </si>
  <si>
    <t>2019-2021</t>
  </si>
  <si>
    <t>B</t>
  </si>
  <si>
    <t>Dự án cầu Lộ 2 trên tuyến đường Võ Văn Kiệt (đoạn từ cầu Mậu Thân đến đường Nguyễn Huệ) thành phố Vĩnh Long</t>
  </si>
  <si>
    <t>78m</t>
  </si>
  <si>
    <t>b</t>
  </si>
  <si>
    <t>Công viên truyền hình Vĩnh Long</t>
  </si>
  <si>
    <t>655/QĐ-UBND ngày 28/3/2016;
2197/QĐ-UBND ngày 17/10/2018</t>
  </si>
  <si>
    <t>Đường vào công viên truyền hình Vĩnh Long</t>
  </si>
  <si>
    <t>662/QĐ-UBND ngày 28/3/2016;
2534/QĐ-UBND ngày 21/10/2016</t>
  </si>
  <si>
    <t>c</t>
  </si>
  <si>
    <t>Lĩnh vực Xã hội</t>
  </si>
  <si>
    <t>Trùng tu, tôn tạo Nghĩa trang liệt sĩ tỉnh Vĩnh Long</t>
  </si>
  <si>
    <t>Trùng tu</t>
  </si>
  <si>
    <t>2760/QĐ-UBND ngày 31/10/2019</t>
  </si>
  <si>
    <t>II</t>
  </si>
  <si>
    <t>Dự án khởi công mới</t>
  </si>
  <si>
    <t>Dự án Đường liên xã Phú Quới - Thạnh Quới</t>
  </si>
  <si>
    <t>Xã Phú Quới và Thạnh Quới, huyện Long Hồ</t>
  </si>
  <si>
    <t>5,88km</t>
  </si>
  <si>
    <t>2021-2025</t>
  </si>
  <si>
    <t>2909/QĐ-UBND ngày 30/10/2020</t>
  </si>
  <si>
    <t>Xã Long Phước, huyện Long Hồ</t>
  </si>
  <si>
    <t>Đường vành đai 1, huyện Vũng Liêm</t>
  </si>
  <si>
    <t>Đường Thế Hanh, thị trấn Vũng Liêm</t>
  </si>
  <si>
    <t>1,64km</t>
  </si>
  <si>
    <t>2021 - 2025</t>
  </si>
  <si>
    <t>Nâng cấp Hương lộ Cái Ngang (đoạn từ tỉnh lộ 904 đến chợ Cái Ngang)</t>
  </si>
  <si>
    <t>5.200m</t>
  </si>
  <si>
    <t>Thị trấn Tân Quới, huyện Bình Tân</t>
  </si>
  <si>
    <t>Thị trấn Trà Ôn, huyện Trà Ôn</t>
  </si>
  <si>
    <t>Công viên truyền hình huyện Tam Bình</t>
  </si>
  <si>
    <t>Thị trấn Tam Bình, huyện Tam Bình</t>
  </si>
  <si>
    <t>Thị trấn Vũng Liêm, huyện Vũng Liêm</t>
  </si>
  <si>
    <t>Sân vận động huyện Vũng Liêm (giai đoạn 1)</t>
  </si>
  <si>
    <r>
      <t>26.300 m</t>
    </r>
    <r>
      <rPr>
        <vertAlign val="superscript"/>
        <sz val="13"/>
        <rFont val="Times New Roman"/>
        <family val="1"/>
        <charset val="163"/>
      </rPr>
      <t>2</t>
    </r>
  </si>
  <si>
    <r>
      <t>34.000 m</t>
    </r>
    <r>
      <rPr>
        <vertAlign val="superscript"/>
        <sz val="13"/>
        <rFont val="Times New Roman"/>
        <family val="1"/>
        <charset val="163"/>
      </rPr>
      <t>2</t>
    </r>
  </si>
  <si>
    <t>Lĩnh vực Giao thông</t>
  </si>
  <si>
    <t>Lĩnh vực Văn hóa</t>
  </si>
  <si>
    <t>Tổng số (tất cả các nguồn vốn)</t>
  </si>
  <si>
    <t>Trong đó: NST</t>
  </si>
  <si>
    <t>NSTW</t>
  </si>
  <si>
    <t>NST</t>
  </si>
  <si>
    <t>Công trình chuyển tiếp</t>
  </si>
  <si>
    <t>Lĩnh vực Nông nghiệp - Thủy lợi</t>
  </si>
  <si>
    <t>Huyện Vũng Liêm</t>
  </si>
  <si>
    <t>Thị xã Bình Minh</t>
  </si>
  <si>
    <t>Công trình khởi công mới</t>
  </si>
  <si>
    <t>Phụ lục 1</t>
  </si>
  <si>
    <t xml:space="preserve"> - Thành phố Vĩnh Long</t>
  </si>
  <si>
    <t xml:space="preserve"> - Thị xã Bình Minh</t>
  </si>
  <si>
    <t xml:space="preserve"> - Huyện Long Hồ</t>
  </si>
  <si>
    <t xml:space="preserve"> - Huyện Mang Thít</t>
  </si>
  <si>
    <t xml:space="preserve"> - Huyện Vũng Liêm</t>
  </si>
  <si>
    <t xml:space="preserve"> - Huyện Trà Ôn</t>
  </si>
  <si>
    <t xml:space="preserve"> - Huyện Tam Bình</t>
  </si>
  <si>
    <t xml:space="preserve"> - Huyện Bình Tân</t>
  </si>
  <si>
    <t>PHÂN CẤP THEO TIÊU CHÍ ĐỊNH MỨC CHO HUYỆN, THỊ XÃ VÀ THÀNH PHỐ</t>
  </si>
  <si>
    <t>A</t>
  </si>
  <si>
    <t>PHÂN BỔ THỰC HIỆN CÁC NHIỆM VỤ CHI ĐẦU TƯ THEO QUY ĐỊNH</t>
  </si>
  <si>
    <t>Chuẩn bị đầu tư - Chuẩn bị dự án (bao gồm khảo sát, thiết kế thi công - dự toán); thanh toán, quyết toán, tất toán dự án hoàn thành</t>
  </si>
  <si>
    <t>Đối ứng ODA</t>
  </si>
  <si>
    <t>III</t>
  </si>
  <si>
    <t>Trên địa bàn tỉnh</t>
  </si>
  <si>
    <t>VI</t>
  </si>
  <si>
    <t>VI.1</t>
  </si>
  <si>
    <t>Bố trí thực hiện dự án chuyển tiếp và khởi công mới</t>
  </si>
  <si>
    <t>d</t>
  </si>
  <si>
    <t>Huyện Mang Thít</t>
  </si>
  <si>
    <t>Lĩnh vực Quản lý nhà nước</t>
  </si>
  <si>
    <t>đ</t>
  </si>
  <si>
    <t>Phường Cái Vồn, thị xã Bình Minh</t>
  </si>
  <si>
    <t>Lĩnh vực An ninh - Quốc phòng</t>
  </si>
  <si>
    <t>Xã Quới Thiện, huyện Vũng Liêm</t>
  </si>
  <si>
    <t>32 CCVC</t>
  </si>
  <si>
    <t>xã Tân An Hội, , huyện Mang Thít</t>
  </si>
  <si>
    <t>Trung tâm hành chính xã Trung Ngãi, huyện Vũng Liêm</t>
  </si>
  <si>
    <t>Xã Trung Ngãi, huyện Vũng Liêm</t>
  </si>
  <si>
    <t>Xã Tân Hạnh, huyện Long Hồ</t>
  </si>
  <si>
    <t>Xã Phú Thành, huyện Trà Ôn</t>
  </si>
  <si>
    <t>Xã Tân An Hội, huyện Mang Thít</t>
  </si>
  <si>
    <t>28 CBCS (06 thường trực)</t>
  </si>
  <si>
    <t>2022-2025</t>
  </si>
  <si>
    <t>Trụ sở làm việc Ban CHQS xã Bình Phước, huyện Mang Thít</t>
  </si>
  <si>
    <t>Trụ sở làm việc Ban CHQS xã An Bình, huyện Long Hồ</t>
  </si>
  <si>
    <t>Trụ sở làm việc Ban CHQS xã Thanh Đức, huyện Long Hồ</t>
  </si>
  <si>
    <t>Trụ sở làm việc Ban CHQS xã Hiếu Nghĩa, huyện Vũng Liêm</t>
  </si>
  <si>
    <t>Xã Bình Phước, huyện Mang Thít</t>
  </si>
  <si>
    <t>Xã Vĩnh Xuân, huyện Trà Ôn</t>
  </si>
  <si>
    <t>Phường 4, thành phố Vĩnh Long</t>
  </si>
  <si>
    <t>Xã An Bình, huyện Long Hồ</t>
  </si>
  <si>
    <t>Xã Thanh Đức, huyện Long Hồ</t>
  </si>
  <si>
    <t>Xã Hiếu Nghĩa, huyện Vũng Liêm</t>
  </si>
  <si>
    <t>Lĩnh vực Thương mại - Dịch vụ</t>
  </si>
  <si>
    <t>Nâng cấp, mở rộng Nhà khách Văn phòng UBND tỉnh Vĩnh Long</t>
  </si>
  <si>
    <t>Phường 2, Thành phố Vĩnh Long</t>
  </si>
  <si>
    <t>24 phòng</t>
  </si>
  <si>
    <t>HUYỆN LONG HỒ</t>
  </si>
  <si>
    <t xml:space="preserve">Danh mục dự án </t>
  </si>
  <si>
    <t>Quyết định đầu tư</t>
  </si>
  <si>
    <t>Kế hoạch trung hạn giai đoạn 2021-2025</t>
  </si>
  <si>
    <t>Số quyết định; ngày tháng, năm</t>
  </si>
  <si>
    <t>TMĐT</t>
  </si>
  <si>
    <t>Trong đó NST:</t>
  </si>
  <si>
    <t>Xã Thanh Đức</t>
  </si>
  <si>
    <t>xã Thanh Đức</t>
  </si>
  <si>
    <t>Đường từ cầu Bùng Binh Quốc lộ 57 (ấp Long Hưng) – Đường tỉnh 902 (ấp Thanh Mỹ 2), xã Thanh Đức, huyện Long Hồ</t>
  </si>
  <si>
    <t>5,25 km</t>
  </si>
  <si>
    <t>Xã An Bình</t>
  </si>
  <si>
    <t>Xã Long An</t>
  </si>
  <si>
    <t>Đường từ Cầu Hậu Thành đến cầu An Lương (cầu Ba Hóa), xã Long An, huyện Long Hồ</t>
  </si>
  <si>
    <t>6,0 km</t>
  </si>
  <si>
    <t>Đường từ Quốc lộ 53 (Bờ Ông Chủ) đến giáp đường Hậu Thành – Ba Hóa, xã Long An, huyện Long Hồ</t>
  </si>
  <si>
    <t>1,83 km</t>
  </si>
  <si>
    <t>Xã Đồng Phú</t>
  </si>
  <si>
    <t>Lĩnh vực Giáo dục - Đào tạo</t>
  </si>
  <si>
    <t>Trường mầm non An Bình, huyện Long Hồ</t>
  </si>
  <si>
    <t>353 trẻ</t>
  </si>
  <si>
    <t>600 học sinh</t>
  </si>
  <si>
    <t>390 trẻ</t>
  </si>
  <si>
    <t>Hội trường 100 chỗ, phòng chức năng</t>
  </si>
  <si>
    <t>Cải tạo trường, phòng chức năng</t>
  </si>
  <si>
    <t>Trung tâm Văn hóa - Thể thao xã Long An, huyện Long Hồ</t>
  </si>
  <si>
    <t>Nhà văn hóa thể thao cụm ấp Long Tân - Hậu Thành - An Lương B - Bà Lang, xã Long An, huyện Long Hồ</t>
  </si>
  <si>
    <t>Trung tâm Văn hóa - Thể thao xã Đồng Phú, huyện Long Hồ</t>
  </si>
  <si>
    <t>Nhà văn hóa thể thao cụm ấp Phú Hòa 1 - Phú Hòa 2 - Phú Thuận 1 - Phú Thuận 2, xã Đồng Phú, huyện Long Hồ</t>
  </si>
  <si>
    <t>HUYỆN MANG THÍT</t>
  </si>
  <si>
    <t>3,0km</t>
  </si>
  <si>
    <t>Xã Nhơn Phú</t>
  </si>
  <si>
    <t>Đường liên ấp Phú Thuận A - Phú Thuận B - Phú Thạnh A, xã Nhơn Phú, huyện Mang Thít</t>
  </si>
  <si>
    <t>6,8km</t>
  </si>
  <si>
    <t>Xã Bình Phước</t>
  </si>
  <si>
    <t>xã Bình Phước</t>
  </si>
  <si>
    <t>Hội truòng 100 chỗ, phòng chức năng</t>
  </si>
  <si>
    <t>HUYỆN VŨNG LIÊM</t>
  </si>
  <si>
    <t>Xã Hiếu Thành</t>
  </si>
  <si>
    <t>Xã Trung Chánh</t>
  </si>
  <si>
    <t>Xã Trung Thành Đông</t>
  </si>
  <si>
    <t>Đường liên ấp Đức Hòa – Hòa Thuận, xã Trung Thành Đông, huyện Vũng Liêm</t>
  </si>
  <si>
    <t>0,73km</t>
  </si>
  <si>
    <t>Xã Trung Thành Tây</t>
  </si>
  <si>
    <t>3,36km</t>
  </si>
  <si>
    <t>Trường mẫu giáo Hiếu Thành, huyện Vũng Liêm</t>
  </si>
  <si>
    <t>280 trẻ</t>
  </si>
  <si>
    <t>Trường mẫu giáo Trung Chánh, huyện Vũng Liêm</t>
  </si>
  <si>
    <t>Trường THCS Nguyễn Việt Hùng, xã Trung Thành Tây, huyện Vũng Liêm</t>
  </si>
  <si>
    <t>430 học sinh</t>
  </si>
  <si>
    <t>Cải tạo HT, phòng chức năng</t>
  </si>
  <si>
    <t>Xã Trung Thành Dông</t>
  </si>
  <si>
    <t>Trung tâm Văn hoá - Thể thao xã Trung Thành Đông, huyện Vũng Liêm</t>
  </si>
  <si>
    <t>HUYỆN TRÀ ÔN</t>
  </si>
  <si>
    <t>Cải tạo, nâng cấp đường Nhà Thí - Trà Côn, huyện Trà Ôn (Đường huyện 71)</t>
  </si>
  <si>
    <t>Xã Vĩnh Xuân, Tân Mỹ, Trà Côn</t>
  </si>
  <si>
    <t>6,1km</t>
  </si>
  <si>
    <t>Xã Tân Mỹ</t>
  </si>
  <si>
    <t>Đường liên ấp Sóc Ruộng - Gia Kiết, xã Tân Mỹ, huyện Trà Ôn</t>
  </si>
  <si>
    <t>4,45km</t>
  </si>
  <si>
    <t xml:space="preserve">Đường vào Trung tâm văn hóa - thể thao xã Tân Mỹ, huyện Trà Ôn.  </t>
  </si>
  <si>
    <t>0,85km</t>
  </si>
  <si>
    <t>Xã Thuận An, thị xã Bình Minh</t>
  </si>
  <si>
    <t>Nâng cấp công suất trạm cấp nước xã Quới Thiện, huyện Vũng Liêm</t>
  </si>
  <si>
    <t>8.000m</t>
  </si>
  <si>
    <t>Nâng cấp công suất trạm cấp nước xã Phú Thành, huyện Trà Ôn</t>
  </si>
  <si>
    <t>5.00m</t>
  </si>
  <si>
    <t>Nâng cấp công suất trạm cấp nước xã Nguyễn Văn Thảnh, huyện Bình Tân</t>
  </si>
  <si>
    <t>Xã Nguyễn Văn Thảnh, huyện Bình Tân</t>
  </si>
  <si>
    <t>5.000m</t>
  </si>
  <si>
    <r>
      <t>Hội trường 200 c</t>
    </r>
    <r>
      <rPr>
        <i/>
        <sz val="13"/>
        <rFont val="Times New Roman"/>
        <family val="1"/>
        <charset val="163"/>
      </rPr>
      <t>h</t>
    </r>
    <r>
      <rPr>
        <sz val="13"/>
        <rFont val="Times New Roman"/>
        <family val="1"/>
        <charset val="163"/>
      </rPr>
      <t>ỗ, phòng chức năng</t>
    </r>
  </si>
  <si>
    <t>Lĩnh vực Nước sạch</t>
  </si>
  <si>
    <t>TỔNG SỐ</t>
  </si>
  <si>
    <t>2016-2020</t>
  </si>
  <si>
    <t>Lĩnh vực Xã hội - Công cộng</t>
  </si>
  <si>
    <t>Thiết bị</t>
  </si>
  <si>
    <t>Dự án Phát triển đô thị và tăng cường khả năng thích ứng biến đổi khí hậu thành phố Vĩnh Long, tỉnh Vĩnh Long</t>
  </si>
  <si>
    <t>3306/QĐ-UBND ngày 09/12/2020</t>
  </si>
  <si>
    <t>IV</t>
  </si>
  <si>
    <t>Các dự án do các cá nhân, doanh nghiệp, tổ chức phi Chính phủ,... tài trợ (đối ứng)</t>
  </si>
  <si>
    <t>V</t>
  </si>
  <si>
    <t>IV.1</t>
  </si>
  <si>
    <t>Huyện Long Hồ</t>
  </si>
  <si>
    <t>Phường 9, Trường An, Tân Ngãi</t>
  </si>
  <si>
    <t>2,83km và 02 cầu</t>
  </si>
  <si>
    <t xml:space="preserve">Đê bao chống ngập thành phố Vĩnh Long - khu vực sông Cái Cá </t>
  </si>
  <si>
    <t>2018-2025</t>
  </si>
  <si>
    <t>2017-2025</t>
  </si>
  <si>
    <t>4.834m</t>
  </si>
  <si>
    <t>1230/QĐ-UBND ngày 07/6/2017; 964/QĐ-UBND ngày 29/4/2021</t>
  </si>
  <si>
    <t>Đê bao dọc sông Hậu tỉnh Vĩnh Long</t>
  </si>
  <si>
    <t>Huyện Trà Ôn, Bình Tân, thị xã Bình Minh</t>
  </si>
  <si>
    <t>1.500ha, Đê bao 26,6km. Kè chống sạt lở bờ sông: 1,566km; 08 cống hở</t>
  </si>
  <si>
    <t>Kè chống sạt lở bờ sông Mang Thít - Khu vực 10B, thị trấn Trà Ôn, huyện Trà Ôn (đoạn từ bến phà An Thới đến chân cầu Trà Ôn)</t>
  </si>
  <si>
    <t>Huyện Tam Bình</t>
  </si>
  <si>
    <t>Huyện Trà Ôn</t>
  </si>
  <si>
    <t>2020-2024</t>
  </si>
  <si>
    <t>Kè dài 530m</t>
  </si>
  <si>
    <t>Đầu tư hoàn chỉnh trạm quan trắc khí tượng thủy văn nội đồng trên địa bàn tỉnh Vĩnh Long</t>
  </si>
  <si>
    <t>11 trạm</t>
  </si>
  <si>
    <t>e</t>
  </si>
  <si>
    <t>2020-2025</t>
  </si>
  <si>
    <t>Dự án Đường từ Quốc lộ 53 - Khu công nghiệp Hòa Phú (ĐT.909B) - Đường Phú Lộc Bầu Gốc - Quốc lộ 1 tỉnh Vĩnh Long</t>
  </si>
  <si>
    <t>Đường từ Quốc lộ 54 đến Khu công nghiệp Bình Minh, thị xã Bình Minh, tỉnh Vĩnh Long</t>
  </si>
  <si>
    <t>Thành phố Vĩnh Long, huyện Long Hồ và Tam Bình</t>
  </si>
  <si>
    <t>Xã Thành Trung, huyện Bình Tân</t>
  </si>
  <si>
    <t>Huyện Vũng Liêm và Mang Thít</t>
  </si>
  <si>
    <t>14,76km và 11 cầu</t>
  </si>
  <si>
    <t>2,120km</t>
  </si>
  <si>
    <t>37,4km và 16 cầu</t>
  </si>
  <si>
    <t>4.300m</t>
  </si>
  <si>
    <t>Lĩnh vực Y tế</t>
  </si>
  <si>
    <t>Lĩnh vực Giáo dục - Đào tạo và dạy nghề</t>
  </si>
  <si>
    <t>Đường từ cầu Ngã Tư đến đường tỉnh 910, xã Thuận An, thị xã Bình Minh</t>
  </si>
  <si>
    <t>Cầu xã Đông Thạnh, thị xã Bình Minh</t>
  </si>
  <si>
    <t>Xã Đông Thạnh, thị xã Bình Minh</t>
  </si>
  <si>
    <t>1,98km</t>
  </si>
  <si>
    <t>45,9m</t>
  </si>
  <si>
    <t>Đường cặp kênh Phong Thới, thị trấn Vũng Liêm</t>
  </si>
  <si>
    <t>Thị trấn Vũng Liêm, huyện Vũng Liêm.</t>
  </si>
  <si>
    <t>Lĩnh vực Thông tin - Truyền thông</t>
  </si>
  <si>
    <t>Tỉnh Vĩnh Long</t>
  </si>
  <si>
    <t>Phần mềm, phần cứng</t>
  </si>
  <si>
    <t>Nâng cấp công nghệ thông tin trong hoạt động của các cơ quan Đảng tỉnh Vĩnh Long</t>
  </si>
  <si>
    <t>2023-2025</t>
  </si>
  <si>
    <t>Đầu tư thiết bị thực hiện chương trình đổi mới giáo dục phổ thông lớp 5 và lớp 9 trên địa bàn huyện Trà Ôn</t>
  </si>
  <si>
    <t>Cải tạo, nâng cấp Bệnh viện đa khoa tỉnh Vĩnh Long (giai đoạn 2)</t>
  </si>
  <si>
    <t>Tại các trường THCS-THPT công lập trên địa bàn tỉnh Vĩnh Long</t>
  </si>
  <si>
    <t>Đầu tư thiết bị phòng học bộ môn khoa học tự nhiên cho các Trường Trung học cơ sở trên địa bàn tỉnh Vĩnh Long</t>
  </si>
  <si>
    <t>Tại các trường THCS công lập trên địa bàn tỉnh Vĩnh Long</t>
  </si>
  <si>
    <t>Đầu tư mới</t>
  </si>
  <si>
    <t>Cải tạo, nâng cấp</t>
  </si>
  <si>
    <t>Đầu tư trang thiết bị cho Bệnh viện đa khoa Vĩnh Long (giai đoạn 2)</t>
  </si>
  <si>
    <t>V.1</t>
  </si>
  <si>
    <t>V.2</t>
  </si>
  <si>
    <t>Chi đầu tư phát triển khác</t>
  </si>
  <si>
    <t>Tặng thưởng công trình phúc lợi xã hội cho xã đạt NTM, NTM nâng cao, ấp kiểu mẫu,... theo quyết định của UBND tỉnh</t>
  </si>
  <si>
    <t>Giao UBND tỉnh phân khai theo quyết định công nhận</t>
  </si>
  <si>
    <t>g</t>
  </si>
  <si>
    <t>Lĩnh vực Giáo dục - Đào tạo và Dạy nghề</t>
  </si>
  <si>
    <t>Phụ lục 2</t>
  </si>
  <si>
    <t>Phụ lục 4</t>
  </si>
  <si>
    <t>Phụ lục 3</t>
  </si>
  <si>
    <t>Phụ lục 5</t>
  </si>
  <si>
    <t>Phụ lục 6</t>
  </si>
  <si>
    <t>Phụ lục 7</t>
  </si>
  <si>
    <t>Phụ lục 9</t>
  </si>
  <si>
    <t>Phụ lục 10</t>
  </si>
  <si>
    <t>Phụ lục 11</t>
  </si>
  <si>
    <t>Phụ lục 12</t>
  </si>
  <si>
    <t>Phường 3 và phường 4, thành phố Vĩnh Long</t>
  </si>
  <si>
    <t>xã Hòa Lộc, Mỹ Lộc, huyện Tam Bình</t>
  </si>
  <si>
    <t>Xã Trung Thành - Trung Thành Đông, huyện Vũng Liêm</t>
  </si>
  <si>
    <t>Phân loại dự án</t>
  </si>
  <si>
    <t>Lĩnh vực</t>
  </si>
  <si>
    <t>KHV</t>
  </si>
  <si>
    <t>Số dự án</t>
  </si>
  <si>
    <t>Số vốn</t>
  </si>
  <si>
    <t>Giao thông</t>
  </si>
  <si>
    <t>NN-TL</t>
  </si>
  <si>
    <t>GDĐT</t>
  </si>
  <si>
    <t>YT</t>
  </si>
  <si>
    <t>VH</t>
  </si>
  <si>
    <t>TTTT</t>
  </si>
  <si>
    <t>XH-CC</t>
  </si>
  <si>
    <t>NS</t>
  </si>
  <si>
    <t>TNMT</t>
  </si>
  <si>
    <t>QLNN</t>
  </si>
  <si>
    <t>QPAN</t>
  </si>
  <si>
    <t>PTĐT</t>
  </si>
  <si>
    <t>TMDV</t>
  </si>
  <si>
    <t>Chuyển tiếp</t>
  </si>
  <si>
    <t>Khởi công mới</t>
  </si>
  <si>
    <t>CT</t>
  </si>
  <si>
    <t>KCM</t>
  </si>
  <si>
    <t>GT</t>
  </si>
  <si>
    <t>(ĐẦU TƯ CÁC CÔNG TRÌNH THUỘC CHƯƠNG TRÌNH MỤC TIÊU QUỐC GIA XÂY DỰNG NÔNG THÔN MỚI, NÂNG THÔN MỚI NÂNG CAO,… GIAI ĐOẠN 2021-2025)</t>
  </si>
  <si>
    <t>Chi tiết tại phụ lục số 04</t>
  </si>
  <si>
    <t>Đầu tư các công trình thuộc Chương trình mục tiêu quốc gia giai đoạn 2021-2025</t>
  </si>
  <si>
    <t>II.1</t>
  </si>
  <si>
    <t>II.2</t>
  </si>
  <si>
    <t>II.3</t>
  </si>
  <si>
    <t>Trên địa bàn huyện Trà Ôn</t>
  </si>
  <si>
    <t>Cải tạo, sửa chữa</t>
  </si>
  <si>
    <t>4,68 hs</t>
  </si>
  <si>
    <t>02 đường kết nối</t>
  </si>
  <si>
    <t>Cải tạo, nâng cấp đường Cống Đá - Vàm Vòng, huyện Trà Ôn (Đường huyện 72)</t>
  </si>
  <si>
    <t>Xã Thuận Thới và xã Hựu Thành, huyện Trà Ôn</t>
  </si>
  <si>
    <t>6,91km</t>
  </si>
  <si>
    <t>Nội dung</t>
  </si>
  <si>
    <t>NGUỒN CÂN ĐỐI NGÂN SÁCH TỈNH</t>
  </si>
  <si>
    <t>Phân cấp theo tiêu chí định mức cho huyện, thị xã và thành phố</t>
  </si>
  <si>
    <t>Phân bổ thực hiện các nhiệm vụ chi đầu tư theo quy định</t>
  </si>
  <si>
    <t>Bố trí thực hiện công trình chuyển tiếp và khởi công mới</t>
  </si>
  <si>
    <t>NGUỒN THU TIỀN SỬ DỤNG ĐẤT</t>
  </si>
  <si>
    <t>NGUỒN XỔ SỐ KIẾN THIẾT</t>
  </si>
  <si>
    <t>D</t>
  </si>
  <si>
    <t>Đ</t>
  </si>
  <si>
    <t>E</t>
  </si>
  <si>
    <t>G</t>
  </si>
  <si>
    <t>NGUỒN XỔ SỐ KIẾN THIẾT CÁC NĂM TRƯỚC</t>
  </si>
  <si>
    <t>H</t>
  </si>
  <si>
    <t>K</t>
  </si>
  <si>
    <t>L</t>
  </si>
  <si>
    <t>Danh mục dự án/công trình</t>
  </si>
  <si>
    <t>Dự án nhóm (A, B, C)</t>
  </si>
  <si>
    <t>Năng lực thiết kế (quy mô đầu tư)</t>
  </si>
  <si>
    <t>Thời gian KC - HT</t>
  </si>
  <si>
    <t>Trong đó NST (vốn vay lại):</t>
  </si>
  <si>
    <t>Lĩnh vực công trình công cộng tại các đô thị</t>
  </si>
  <si>
    <t>Dự án phát triển đô thị và tăng cường khả năng thích ứng biến đổi khí hậu thành phố Vĩnh Long, tỉnh Vĩnh Long</t>
  </si>
  <si>
    <t>M</t>
  </si>
  <si>
    <t>NGUỒN BỘI CHI NGÂN SÁCH ĐỊA PHƯƠNG</t>
  </si>
  <si>
    <t>Huyện nông thôn mới.</t>
  </si>
  <si>
    <t>Trung tâm hành chính xã Tân An Hội, huyện Mang Thít</t>
  </si>
  <si>
    <t>C.1</t>
  </si>
  <si>
    <t>C.2</t>
  </si>
  <si>
    <t>THỰC HIỆN PHÂN BỔ THEO QUY ĐỊNH</t>
  </si>
  <si>
    <t>BỐ TRÍ VỐN THỰC HIỆN ĐỐI ỨNG TRUNG ƯƠNG THỰC HIỆN DỰ ÁN THÍCH ỨNG BIẾN ĐỔI KHÍ HẬU (DPO) DO THỦ TƯỚNG CHÍNH PHỦ QUYẾT ĐỊNH CHỦ TRƯƠNG ĐẦU TƯ</t>
  </si>
  <si>
    <t>Dự kiến đối ứng Trung ương thực hiện dự án do Thủ tướng Chính phủ quyết định chủ trương đầu tư. Khi Thủ tướng Chính phủ quyết định chủ trương đầu tư, thông báo vốn hỗ trợ, tỉnh sẽ dối ứng cụ thể để thực hiện theo thực tế</t>
  </si>
  <si>
    <t>Chi tiết tại phụ lục 1</t>
  </si>
  <si>
    <t>Chi tiết tại phụ lục 2</t>
  </si>
  <si>
    <t>Chi tiết tại phụ lục 3</t>
  </si>
  <si>
    <t>Chi tiết tại phụ lục 4</t>
  </si>
  <si>
    <t>Chi tiết tại phụ lục 5</t>
  </si>
  <si>
    <t>Chi tiết tại phụ lục 6</t>
  </si>
  <si>
    <t>Chi tiết tại phụ lục 7</t>
  </si>
  <si>
    <t>Chi tiết tại phụ lục 8</t>
  </si>
  <si>
    <t>Chi tiết tại phụ lục 9</t>
  </si>
  <si>
    <t>Chi tiết tại phụ lục 10</t>
  </si>
  <si>
    <t>Chi tiết tại phụ lục 11</t>
  </si>
  <si>
    <t>Chi tiết tại phụ lục 12</t>
  </si>
  <si>
    <t>Chi tiết tại phụ lục 13</t>
  </si>
  <si>
    <t>Đường tỉnh 907 tỉnh Vĩnh Long (giai đoạn 2)</t>
  </si>
  <si>
    <t>04 hợp phần</t>
  </si>
  <si>
    <t>785/QĐ-TTg ngày 08/6/2020; 
3306/QĐ-UBND ngày 09/12/2020</t>
  </si>
  <si>
    <t>Thực hiện mục tiêu thích ứng biến đổi khí hậu, chỉnh trang đô thị.</t>
  </si>
  <si>
    <r>
      <t>31.000 m</t>
    </r>
    <r>
      <rPr>
        <vertAlign val="superscript"/>
        <sz val="13"/>
        <rFont val="Times New Roman"/>
        <family val="1"/>
        <charset val="163"/>
      </rPr>
      <t>2</t>
    </r>
  </si>
  <si>
    <t>Trường mầm non Đồng Phú, huyện Long Hồ</t>
  </si>
  <si>
    <t>NQ số 37</t>
  </si>
  <si>
    <t>Trong đó, tăng/giảm:</t>
  </si>
  <si>
    <t>NQ số 51</t>
  </si>
  <si>
    <t>NQ số 60</t>
  </si>
  <si>
    <t>Đường từ Quốc lộ 53 - Khu công nghiệp Hòa Phú (ĐT.909B) - Đường Phú Lộc Bầu Gốc - Quốc lộ 1 tỉnh Vĩnh Long</t>
  </si>
  <si>
    <t>628/QĐ-UBND ngày 31/3/2022</t>
  </si>
  <si>
    <t>Năm 2022</t>
  </si>
  <si>
    <t>NQ số 72</t>
  </si>
  <si>
    <t>NQ số 80</t>
  </si>
  <si>
    <t>Cải tạo, nâng cấp Trường trung học phổ thông Song Phú, huyện Tam Bình</t>
  </si>
  <si>
    <t>Cải tạo, sửa chữa Trường trung học phổ thông Hòa Ninh</t>
  </si>
  <si>
    <t>CẢI TẠO, SỬA CHỮA CÁC CÔNG TRÌNH Y TẾ, GIÁO DỤC, DẠY NGHỀ, VĂN HÓA, THỂ DỤC - THỂ THAO</t>
  </si>
  <si>
    <t>NQ số 93</t>
  </si>
  <si>
    <t>Trường tiểu học Trung Chánh A, huyện Vũng Liêm</t>
  </si>
  <si>
    <t>364 học sinh</t>
  </si>
  <si>
    <t>Trường tiểu học Trung Thành Đông A, huyện Vũng Liêm</t>
  </si>
  <si>
    <t>313 học sinh</t>
  </si>
  <si>
    <t>NQ số 94</t>
  </si>
  <si>
    <t>Xã Hiếu Phụng, huyện Vũng Liêm</t>
  </si>
  <si>
    <t>Cải tạo, sửa chữa Trung tâm y tế Nguyễn Văn Thủ</t>
  </si>
  <si>
    <t>Thị trấn Vũng Liêm, Huyện Vũng Liêm</t>
  </si>
  <si>
    <t>ĐT</t>
  </si>
  <si>
    <t>DL</t>
  </si>
  <si>
    <t>NN</t>
  </si>
  <si>
    <t>Đường Võ Văn Kiệt, thành phố Vĩnh Long</t>
  </si>
  <si>
    <t>Đầu tư thiết bị thực hiện chương trình đổi mới giáo dục phổ thông lớp 7, lớp 8 và lớp 9 tại các Trường Trung học cơ sở - Trung học phổ thông công lập trên địa bàn tỉnh Vĩnh Long</t>
  </si>
  <si>
    <t>Đầu tư thiết bị thực hiện chương trình đổi mới giáo dục phổ thông lớp 10, lớp 11 và lớp 12 tại các Trường Trung học cơ sở - Trung học phổ thông và Trường Trung học phổ thông công lập trên địa bàn tỉnh Vĩnh Long</t>
  </si>
  <si>
    <t>Trung tâm văn hoá, thể thao truyền hình huyện Vũng Liêm</t>
  </si>
  <si>
    <t>Năm 2023
(Bố trí phân cấp năm 2023</t>
  </si>
  <si>
    <t>NQ số 106</t>
  </si>
  <si>
    <t>Trụ sở làm việc các đơn vị: Trạm Chăn nuôi thú y và Thủy sản, Trạm Trồng trọt và Bảo vệ thực vật, Trạm Khuyến nông, huyện Vũng Liêm</t>
  </si>
  <si>
    <t>Xã Trung Hiếu, huyện Vũng Liêm</t>
  </si>
  <si>
    <t>Xây dựng mới</t>
  </si>
  <si>
    <t>Trong đó: NST+TW</t>
  </si>
  <si>
    <t>Theo văn bản số 1021/STC-QLNS ngày 05/5/2023, số vốn vượt thu xổ số kiển thiết được xác nhận là 256.158 triệu đồng</t>
  </si>
  <si>
    <t>Nâng cấp, mở rộng đường tỉnh 903 (đoạn từ vòng xoay ngã 5 thị trấn Cái Nhum đến đường tỉnh 902), huyện Mang Thít</t>
  </si>
  <si>
    <t>Thị trấn Cái Nhum và xã An Phước, huyện Mang Thít</t>
  </si>
  <si>
    <t>3,78km</t>
  </si>
  <si>
    <t>1053/QĐ-UBND ngày 08/5/2023</t>
  </si>
  <si>
    <t>Dự án xuống cấp cần triển khai để kết nối đồng bộ với ĐT.902</t>
  </si>
  <si>
    <t>Năm 2023
(Bố trí lại năm 2021, 2022)</t>
  </si>
  <si>
    <t>Trong đó</t>
  </si>
  <si>
    <t>NQ số 127</t>
  </si>
  <si>
    <t>Năm 2023 (đến 31/12/2023)</t>
  </si>
  <si>
    <t>NQ số 142</t>
  </si>
  <si>
    <t>Đường huyện 32B (đường 30/4), thị trấn Cái Nhum, huyện Mang Thít</t>
  </si>
  <si>
    <t>Đường D7 và đường trục chính đô thị, thị trấn Cái Nhum, huyện Mang Thít</t>
  </si>
  <si>
    <t>3.670m</t>
  </si>
  <si>
    <t>2023-2026</t>
  </si>
  <si>
    <t>740m</t>
  </si>
  <si>
    <t>Trụ sở làm việc Công an xã Song Phú, huyện Tam Bình</t>
  </si>
  <si>
    <t>xã Song Phú, huyện Tam Bình</t>
  </si>
  <si>
    <t>6 CB, CS</t>
  </si>
  <si>
    <t>Trụ sở làm việc Công an xã Hiếu Phụng, huyện Vũng Liêm</t>
  </si>
  <si>
    <t>Nâng cấp, mở rộng đường Phan Văn Năm (đoạn từ đường 3 tháng 2 đến đường Nguyễn Văn Thành), phường Cái Vồn, thị xã Bình Minh</t>
  </si>
  <si>
    <t>1.060m</t>
  </si>
  <si>
    <t>Trung tâm Văn hóa, Thông tin và Thể thao huyện Mang Thít</t>
  </si>
  <si>
    <t>Khóm 1, khóm 2, thị trấn Cái Nhum, huyện Mang Thít</t>
  </si>
  <si>
    <t>Cải tạo, xây dựng mới</t>
  </si>
  <si>
    <t>Cải tạo, nâng cấp nghĩa trang liệt sĩ huyện Mang Thít</t>
  </si>
  <si>
    <t>Cải tạo, nâng cấp nghĩa trang liệt sĩ huyện Trà Ôn</t>
  </si>
  <si>
    <t>Năm 2023</t>
  </si>
  <si>
    <t>Trong đó: Đài PTTH hỗ trợ</t>
  </si>
  <si>
    <t>Lĩnh vực Công trình công cộng tại các đô thị</t>
  </si>
  <si>
    <t>Phát triển đô thị và tăng cường khả năng thích ứng biến đổi khí hậu thành phố Vĩnh Long, tỉnh Vĩnh Long</t>
  </si>
  <si>
    <t>785/QĐ-TTg ngày 08/6/2020; 
2304/QĐ-UBND ngày 09/11/2022</t>
  </si>
  <si>
    <t>Đường liên ấp Thành Quý – Thành Giang, xã Thành Trung, huyện Bình Tân</t>
  </si>
  <si>
    <t>Cấp vốn điều lệ cho Quỹ hỗ trợ phát triển hợp tác xã</t>
  </si>
  <si>
    <t>Hỗ trợ đầu tư kết cấu hạ tầng và chế biến sản phẩm đối với Hợp tác xã Nông nghiệp giai đoạn 2021-2025 trên địa bàn tỉnh</t>
  </si>
  <si>
    <t>Dự kiến năm 2025</t>
  </si>
  <si>
    <t>2024-2027</t>
  </si>
  <si>
    <t>HTTL ngăn mặn, giữ ngọt xã Thanh Bình và xã Quới Thiện, huyện Vũng Liêm</t>
  </si>
  <si>
    <t>Đê bao: 14,7km; 10cống hở; 12 cống đập kiên cố</t>
  </si>
  <si>
    <t>2323/QĐ-UBND ngày 31/10/2017; 2868/QĐ-UBND ngày 26/10/2020; 2133/QĐ-UBND ngày 11/8/2021</t>
  </si>
  <si>
    <t>Kè chống sạt lở bờ sông Cổ Chiên (đoạn từ đầu cù lao An Bình đến phà An Bình), xã An Bình, huyện Long Hồ, tỉnh Vĩnh Long</t>
  </si>
  <si>
    <t xml:space="preserve">Kè dài 4.300m </t>
  </si>
  <si>
    <t>Kè chống sạt lở bờ sông Tiền (đoạn từ sông Cái Đôi đến bến phà Mỹ Thuận cũ), phường Tân Hòa, thành phố Vĩnh Long, tỉnh Vĩnh Long</t>
  </si>
  <si>
    <t>Phường Tân Hòa, thành phố Vĩnh Long</t>
  </si>
  <si>
    <t xml:space="preserve">Kè dài 2.000m </t>
  </si>
  <si>
    <t>Hệ thống thủy lợi Cồn Lục Sỹ, huyện Trà Ôn, tỉnh Vĩnh Long (giai đoạn 2)</t>
  </si>
  <si>
    <t>Xã Lục Sĩ Thành và xã  Phú Thành, huyện Trà Ôn</t>
  </si>
  <si>
    <t>Phục vụ tưới tiêu 2.000ha, gồm: Đê bao dài 35km, cống hở: 05 cống, kè chống sạt lở bờ sông 700m</t>
  </si>
  <si>
    <t>Nâng cấp hệ thống thủy lợi Mỹ Lộc - Mỹ Thạnh Trung - Long Phú - Song Phú, huyện Tam Bình</t>
  </si>
  <si>
    <t>Xã Mỹ Lộc - Mỹ Thạnh Trung - Long Phú - Song Phú, huyện Tam Bình</t>
  </si>
  <si>
    <t>Phục vụ tưới tiêu 10.000ha; bao gồm: nạo vét kết hợp đắp đê bao: 67km, cống hở: 08 cống</t>
  </si>
  <si>
    <t>Hệ thống thủy lợi Thanh Đức - Long Mỹ, huyện Long Hồ và huyện Mang Thít</t>
  </si>
  <si>
    <t>Xã Thanh Đức, huyện Long Hồ và xã Long Mỹ, huyện Mang Thít</t>
  </si>
  <si>
    <t>Đê bao 12,8km, đê bao kết hợp đường trục nội đồng 15km, cống hở: 05 cống, bến trung chuyển hàng hóa: 02 bến</t>
  </si>
  <si>
    <t>Xã Trà Côn</t>
  </si>
  <si>
    <t>Trường THCS Trà Côn, huyện Trà Ôn</t>
  </si>
  <si>
    <t>Trường mầm non Trà Côn, huyện Trà Ôn</t>
  </si>
  <si>
    <t>550 trẻ</t>
  </si>
  <si>
    <t>Trường tiểu học Trà Côn C, huyện Trà Ôn</t>
  </si>
  <si>
    <t>320 học sinh</t>
  </si>
  <si>
    <t>Trung tâm thể thao truyền hình huyện Tam Bình</t>
  </si>
  <si>
    <r>
      <t>47.529 m</t>
    </r>
    <r>
      <rPr>
        <vertAlign val="superscript"/>
        <sz val="13"/>
        <rFont val="Times New Roman"/>
        <family val="1"/>
        <charset val="163"/>
      </rPr>
      <t>2</t>
    </r>
  </si>
  <si>
    <t>Bến xe Vĩnh Long (giai đoạn 1)</t>
  </si>
  <si>
    <t>22.193m2</t>
  </si>
  <si>
    <t>Cải tạo, nâng cấp ĐT.910B tỉnh Vĩnh Long</t>
  </si>
  <si>
    <t>Thị xã Bình Minh, huyện Bình Tân</t>
  </si>
  <si>
    <t>Đường dài 9,6km  mở rộng mặt cầu 08 cầu</t>
  </si>
  <si>
    <t>Bổ sung trung hạn: 25 tỷ</t>
  </si>
  <si>
    <t>Bổ sung trung hạn: 10 tỷ</t>
  </si>
  <si>
    <t>Bổ sung trung hạn: 8 tỷ</t>
  </si>
  <si>
    <t xml:space="preserve"> - Giảm trung hạn 10,5 tỷ
 - Dư vốn</t>
  </si>
  <si>
    <t xml:space="preserve"> - Giảm trung hạn 4 tỷ
 - Dư vốn</t>
  </si>
  <si>
    <t xml:space="preserve"> - Giảm trung hạn 18 tỷ
 - Dư vốn</t>
  </si>
  <si>
    <t>Dự án Cầu và đường đến trung tâm xã Nhơn Bình, huyện Trà Ôn, tỉnh Vĩnh Long</t>
  </si>
  <si>
    <t>Xã Nhơn Bình, huyện Trà Ôn</t>
  </si>
  <si>
    <t>6,772 km và 3 cầu</t>
  </si>
  <si>
    <t>Dự án Cầu và đường đến trung tâm xã Thành Trung, huyện Bình Tân, tỉnh Vĩnh Long</t>
  </si>
  <si>
    <t>6,103 km và 3 cầu</t>
  </si>
  <si>
    <t>Bổ sung trung hạn: 38 tỷ</t>
  </si>
  <si>
    <t>Kè chống sạt lở bờ sông Long Hồ, khu vực Phường 1, Phường 5</t>
  </si>
  <si>
    <t>Kè dài 1.314m</t>
  </si>
  <si>
    <t>Đê bao sông Măng Thít, tỉnh Vĩnh Long (giai đoạn 2)</t>
  </si>
  <si>
    <t>Huyện Vũng Liêm, Tam Bình, Mang Thít, Trà Ôn</t>
  </si>
  <si>
    <t>Tuyến đê bao dài 47,3 km; 18 cống hở; 22 cống ngầm, 6 tuyến kè sạt lở bờ sông dài 3.150m.</t>
  </si>
  <si>
    <t>2016-2025</t>
  </si>
  <si>
    <t>Kè chống sạt lở bờ sông Cái Vồn Lớn và sông Cái Vồn Nhỏ (Đoạn từ giáp với sông Hậu đến cầu Đông Thành), xã Mỹ Hòa, thị xã Bình Minh</t>
  </si>
  <si>
    <t>Ấp Mỹ Khánh 1 – Mỹ Khánh 2, xã Mỹ Hòa, thị xã Bình Minh</t>
  </si>
  <si>
    <t>1.500m</t>
  </si>
  <si>
    <t>Cầu Mộ địa, xã Mỹ Hoà, thị xã Bình Minh</t>
  </si>
  <si>
    <t>Đường Trung Thành Tây - Tân Quới Trung (đường huyện 69)</t>
  </si>
  <si>
    <t>Nâng cấp, mở rộng đường đô thị đoạn từ Quốc lộ 54 đến đường vào cầu Bông Vải, thị trấn Tân Quới, huyện Bình Tân (Đường Thành Đông)</t>
  </si>
  <si>
    <t>Trường mầm non 2, phường 2, thành phố Vĩnh Long</t>
  </si>
  <si>
    <t>Trường Tiểu học Thành Đông A, huyện Bình Tân</t>
  </si>
  <si>
    <t>Trung tâm Giáo dục nghề nghiệp giáo dục thường xuyên huyện Trà Ôn. Hạng mục: Xây dựng mới 04 phòng học bộ môn và trang thiết bị</t>
  </si>
  <si>
    <t>Giảm trung hạn 1,49 tỷ</t>
  </si>
  <si>
    <t>Giảm trung hạn 21 tỷ</t>
  </si>
  <si>
    <t>Mở rộng Công viên Vũng Liêm</t>
  </si>
  <si>
    <t>8.554 m2</t>
  </si>
  <si>
    <t>2017-2021</t>
  </si>
  <si>
    <t>2647/QĐ-UBND ngày 31/10/2016; 3076/QĐ-UBND ngày 10/12/2019</t>
  </si>
  <si>
    <t>Công viên truyền hình huyện Bình Tân</t>
  </si>
  <si>
    <r>
      <t>39.820 m</t>
    </r>
    <r>
      <rPr>
        <vertAlign val="superscript"/>
        <sz val="13"/>
        <rFont val="Times New Roman"/>
        <family val="1"/>
        <charset val="163"/>
      </rPr>
      <t>2</t>
    </r>
  </si>
  <si>
    <t>Trung tâm văn hóa, thể thao truyền hình huyện Bình Tân</t>
  </si>
  <si>
    <r>
      <t>25.680 m</t>
    </r>
    <r>
      <rPr>
        <vertAlign val="superscript"/>
        <sz val="13"/>
        <rFont val="Times New Roman"/>
        <family val="1"/>
        <charset val="163"/>
      </rPr>
      <t>2</t>
    </r>
  </si>
  <si>
    <t>Bổ sung trung hạn 1,632 tỷ để quyết toán dự án hoàn thành</t>
  </si>
  <si>
    <t>Bổ sung trung hạn 3,902 tỷ thanh toán, quyết toán dự án hoàn thành</t>
  </si>
  <si>
    <t>Bổ sungtrung hạn 6,424 tỷ thanh toán, quyết toán dự án hoàn thành</t>
  </si>
  <si>
    <t>Bổ sung trung hạn 16 tỷ thanh toán, quyết toán dự án hoàn thành</t>
  </si>
  <si>
    <t xml:space="preserve">Năm 2023 </t>
  </si>
  <si>
    <t xml:space="preserve">Năm 2024 </t>
  </si>
  <si>
    <t>Năm 2024</t>
  </si>
  <si>
    <t>Bổ sung trung hạn: 22 tỷ</t>
  </si>
  <si>
    <t>Bổ sung trung hạn: 109 tỷ</t>
  </si>
  <si>
    <t>Còn bố trí nguồn dự phòng trung hạn: 116 tỷ</t>
  </si>
  <si>
    <t>Bổ sung trung hạn: 55 tỷ</t>
  </si>
  <si>
    <t>Kè bê tông hồ chứa nước rỉ rác, xã Hòa Phú, huyện Long Hồ</t>
  </si>
  <si>
    <t xml:space="preserve"> - Giảm trung hạn 5 tỷ
 - Dư vốn</t>
  </si>
  <si>
    <t>Hoàn nguồn các dự án sử dụng vốn sự nghiệp từ NSTW thực hiện CTMTQG xây dựng Nông thôn mới theo kết luận của Kiểm toán nhà nước</t>
  </si>
  <si>
    <t>Mua sắm thiết bị học tập tin học, ngoại ngữ</t>
  </si>
  <si>
    <t>Duy tu và gia cố đoạn sạt lỡ Đường ĐH.27B, xã Tân Hạnh, huyện Long Hồ, hạng mục: Duy tu và gia cố sạt lỡ</t>
  </si>
  <si>
    <t>Duy tu Đường ĐH.22B, xã Phú Quới (đoạn từ cầu Ba Dung đến cầu Hai Voi), huyện Long Hồ, hạng mục: Duy tu chống thấm mặt đường</t>
  </si>
  <si>
    <t>Duy tu sửa chữa mặt đường và lắp đặt cống thoát nước Đường ĐH.20 (đoạn trại tạm giam), xã Thanh Đức, huyện Long Hồ, hạng mục: Duy tu chống thấm mặt đường</t>
  </si>
  <si>
    <t>Thay cửa cống Bà cai xã Ngãi Tứ, huyện Tam Bình</t>
  </si>
  <si>
    <t>Xã Phú Quới, huyện Long Hồ</t>
  </si>
  <si>
    <t>Xã Ngãi Tứ, huyện Tam Bình</t>
  </si>
  <si>
    <t>VII</t>
  </si>
  <si>
    <t>Trung tâm Văn hóa - Thể thao xã Thanh Đức, huyện Long Hồ</t>
  </si>
  <si>
    <t>Cải tạo hội trường 200 chổ, phòng chức năng</t>
  </si>
  <si>
    <t>Trung tâm Văn hóa - Thể thao xã An Bình, huyện Long Hồ</t>
  </si>
  <si>
    <t>Hội trường 200 chỗ, phòng chức năng</t>
  </si>
  <si>
    <t>Công viên truyền hình thị xã Bình Minh</t>
  </si>
  <si>
    <t>Xã Mỹ Hòa, thị xã Bình Minh</t>
  </si>
  <si>
    <r>
      <t>33.740 m</t>
    </r>
    <r>
      <rPr>
        <vertAlign val="superscript"/>
        <sz val="13"/>
        <rFont val="Times New Roman"/>
        <family val="1"/>
        <charset val="163"/>
      </rPr>
      <t>2</t>
    </r>
  </si>
  <si>
    <t>2947/QĐ-UBND ngày 30/10/2020;
1912/QĐ-UBND ngày 20/7/2021</t>
  </si>
  <si>
    <t>I.4</t>
  </si>
  <si>
    <t>NGUỒN CÂN ĐỐI NGÂN SÁCH</t>
  </si>
  <si>
    <t>I.1</t>
  </si>
  <si>
    <t>Hội trường Trung tâm hành chính huyện Bình Tân</t>
  </si>
  <si>
    <t>1.123m2</t>
  </si>
  <si>
    <t>2024-2026</t>
  </si>
  <si>
    <t>1054/QĐ-UBND ngày 31/5/2024</t>
  </si>
  <si>
    <t>Đầu tư phục vụ nhu cầu tổ chức hội nghị, tập huấn, Đại hội Huyện Đảng bộ trong năm 2025,…</t>
  </si>
  <si>
    <t>Lĩnh vực An ninh</t>
  </si>
  <si>
    <t>Các dự án lĩnh vực An ninh và trật tự, an toàn xã hội</t>
  </si>
  <si>
    <t>Giao Ủy ban nhân dân tỉnh phân bổ chi tiết theo quy định mật</t>
  </si>
  <si>
    <t>III.1</t>
  </si>
  <si>
    <t>Dự án Đầu tư xây dựng công trình cải tạo, nâng cấp đường tỉnh 902 (đoạn từ cầu Mỹ An - Cầu Vũng Liêm) huyện Mang Thít và huyện Vũng Liêm, tỉnh Vĩnh Long</t>
  </si>
  <si>
    <t>Huyện Mang Thít và Vũng Liêm</t>
  </si>
  <si>
    <t>20,605 km</t>
  </si>
  <si>
    <t>2654/QĐ-UBND ngày 31/10/2016; 
976/QĐ-UBND ngày 29/4/2021; 
2036/QĐ-UBND ngày 30/7/2021</t>
  </si>
  <si>
    <t>Bổ sung vốn để thanh toán chi phí giải phóng mặt bằng phát sinh.</t>
  </si>
  <si>
    <t>Đường D1, thị trấn Long Hồ, huyện Long Hồ</t>
  </si>
  <si>
    <t>Thị trấn Long Hồ, huyện Long Hồ</t>
  </si>
  <si>
    <t>2,83km</t>
  </si>
  <si>
    <t>558/QĐ-UBND ngày 22/03/2022</t>
  </si>
  <si>
    <t>Dự án được bố trí nguồn sử dụng đất; do bị hụt thu nên bổ sung dự phòng để thực hiện</t>
  </si>
  <si>
    <t>Tuyến đường vào cầu 140m; cầu dài 30, tải trọng 15 tấn</t>
  </si>
  <si>
    <t>QĐ BCKTKT 3364/QĐ-UBND ngày 23/10/2024 (3000)</t>
  </si>
  <si>
    <t>Xã Trung Thành Tây và Xã Tân Quới Trung, huyện Vũng Liêm</t>
  </si>
  <si>
    <t>Xem kỹ lại tên DA theo QĐĐT, số vốn trong QĐĐT</t>
  </si>
  <si>
    <t>Hỗ trợ CP xây dựng 12 tỷ</t>
  </si>
  <si>
    <t>Đường liên ấp Bình Phụng (lộ cây Xoài), xã Trung Hiệp</t>
  </si>
  <si>
    <t>Ấp Bình Phụng, xã Trung Hiệp</t>
  </si>
  <si>
    <t>2.350m</t>
  </si>
  <si>
    <t>Đường liên xã từ Đồng Phú đến Km1+580 (đoạn 1), huyện Long Hồ. Hạng mục: Nâng cấp mở rộng mặt đường</t>
  </si>
  <si>
    <t>Xã Đồng Phú, xã Bình Hòa Phước, huyện Long Hồ</t>
  </si>
  <si>
    <t>1.580m</t>
  </si>
  <si>
    <t>QĐĐT số 10410/QĐ-UBND ngày 23/10/2024</t>
  </si>
  <si>
    <t>Chi phí xây dựng: 10 tỷ</t>
  </si>
  <si>
    <t>1.270m</t>
  </si>
  <si>
    <t xml:space="preserve">QĐ BCKTKT 1623/QĐ-UBND ngày 25/10/2024 </t>
  </si>
  <si>
    <t>Cải tạo, nâng cấp đường Vĩnh Trinh - Tích Lộc, xã Vĩnh Xuân, xã Tích Thiện, huyện Trà Ôn (đoạn từ Quốc lộ 54 đến ngã ba cống hở Tân Dinh)</t>
  </si>
  <si>
    <t>xã Vĩnh Xuân và xã Tích Thiện, huyện Trà Ôn</t>
  </si>
  <si>
    <t>7.606m</t>
  </si>
  <si>
    <t>2024-2025</t>
  </si>
  <si>
    <t>QĐĐT 12679/QĐ-UBND ngày 24/10/2024</t>
  </si>
  <si>
    <t>2902/QĐ-UBND ngày 29/10/2020; 2650/QĐ-UBND ngày 04/10/2021; 702/QĐ-UBND ngày 08/04/2022</t>
  </si>
  <si>
    <t>Thanh toán chi phí bồi hoàn GPMB tăng</t>
  </si>
  <si>
    <t>Phường 2, thành phố Vĩnh Long</t>
  </si>
  <si>
    <t>Xây dựng khối 12 phòng học, các phòng chức năng và các hạng mục phụ trợ</t>
  </si>
  <si>
    <t>Xem kỹ lại tên DA theo CTĐT, số vốn</t>
  </si>
  <si>
    <t>Trường tiểu học Trần Bình Trọng, xã Mỹ Hòa, thị xã Bình Minh</t>
  </si>
  <si>
    <t>Đầu tư xây dựng mới các phòng, các hạng mục phụ trợ</t>
  </si>
  <si>
    <t>Trường tiểu học Hòa Thạnh, huyện Tam Bình</t>
  </si>
  <si>
    <t>Xã Hòa Thạnh, huyện Tam Bình</t>
  </si>
  <si>
    <t>358 học sinh</t>
  </si>
  <si>
    <t>Ấp Thành Khương, thị trấn Tân Quới, huyện Bình Tân</t>
  </si>
  <si>
    <t>QĐ BCKTKT 1624/QĐ-UBND ngày 25/10/2024</t>
  </si>
  <si>
    <t>Nhà đa năng cho các điểm trường trên địa bàn huyện Trà Ôn</t>
  </si>
  <si>
    <t>Xã Thiện Mỹ, xã Thuận Thới, xã Thới Hòa và xã Xuân Hiệp, huyện Trà Ôn</t>
  </si>
  <si>
    <t>Xây dựng nhà đa năng cho các điểm trường trên địa
bàn huyện Trà Ôn</t>
  </si>
  <si>
    <t>QĐ BCKTKT 12678/QĐ-UBND ngày 24/10/2024</t>
  </si>
  <si>
    <t>Trường tiểu học Nhơn Phú C, huyện Mang Thít</t>
  </si>
  <si>
    <t>Ấp Phú Thạnh C, Phú Thạnh A, xã Nhơn Ph</t>
  </si>
  <si>
    <t>Xây dựng khối phòng tổ chức ăn, nhà vệ sinh; cải tạo, sửa chữa các hạng mục hiện trạng</t>
  </si>
  <si>
    <t>4134/QĐ-UBND ngày 23/10/2024</t>
  </si>
  <si>
    <t>Hỗ trợ CP Xây dựng và thiết bị 7,4 tỷ</t>
  </si>
  <si>
    <t>QĐ BCKTKT 4134/QĐ-UBND ngày 23/10/2024</t>
  </si>
  <si>
    <t>ấp Giồng Thanh Bạch, xã Thiện Mỹ,
huyện Trà Ôn</t>
  </si>
  <si>
    <t>Đầu tư xây dựng mới 04 phòng học bộ môn và trang thiết bị</t>
  </si>
  <si>
    <t>Cơ sở làm việc Công an huyện Long Hồ thuộc Công an tỉnh Vĩnh Long</t>
  </si>
  <si>
    <t>Xã Phú Đức, huyện Long Hồ</t>
  </si>
  <si>
    <t>164 BC, CS</t>
  </si>
  <si>
    <t>9781/QĐ--BCA-H02 ngày 30/12/2002;
1065/QĐ-UBND ngày 20/3/2023</t>
  </si>
  <si>
    <t xml:space="preserve"> - Hoàn trả ứng trước chi phí GPMB
 - Số hoàn trả theo số giải ngân thực tế tại KBNN</t>
  </si>
  <si>
    <t>Cơ sở làm việc Công an huyện Mang Thít thuộc Công an tỉnh Vĩnh Long</t>
  </si>
  <si>
    <t>Thj trấn Cái Nhum, huyện Mang Thít</t>
  </si>
  <si>
    <t>112 CB, CS</t>
  </si>
  <si>
    <t>7052/QĐ-BCA-H02 ngày 18/10/2023;
6385/QĐ-UBND ngày 29/12/2023</t>
  </si>
  <si>
    <t>Ấp Phú Hưng, xã Hòa Phú, huyện Long Hồ</t>
  </si>
  <si>
    <t>640m</t>
  </si>
  <si>
    <t>Quyết định phê duyệt dự án/ điều chỉnh dự án</t>
  </si>
  <si>
    <t>Huyện Long Hồ, Tam Bình, thành phố Vĩnh Long</t>
  </si>
  <si>
    <t>766/QĐ-UBND ngày 10/4/2023</t>
  </si>
  <si>
    <t>2797/QĐ-UBND ngày 17/11/2016; 121/QĐ-UBND ngày 18/01/2017; 
2129/QĐ-UBND ngày 04/10/2017; 2095/QĐ-UBND ngày 05/8/2021; 47/QĐ-UBND ngày 11/01/2022; 
1086/QĐ-UBND ngày 02/6/2022</t>
  </si>
  <si>
    <t>1838/QĐ-UBND ngày 18/8/2017; 
965/QĐ-UBND ngày 29/4/2021; 
19/NQ-HĐND ngày 02/7/2021; 
2136/QĐ-UBND ngày 11/8/2021</t>
  </si>
  <si>
    <t>2802/QĐ-UBND ngày
18/11/2016; 
2811/QĐ-UBND ngày 29/12/2017; 
22/NQ-HĐND ngày 02/7/2021; 
2132/QĐ-UBND ngày 11/8/2021</t>
  </si>
  <si>
    <t>Đầu tư Hạ tầng phục vụ sản xuất nông nghiệp khu vực thị xã Bình Minh - huyện Tam Bình</t>
  </si>
  <si>
    <t>Thị xã Bình Minh, huyện Tam Bình</t>
  </si>
  <si>
    <t>3.000ha. Đường trục nội đồng 12,9km. Cống hở: 02 cống. Kiên cố đập: 04 đập.Trạm bơm: 01 trạm. Bến trung chuyển hàng hóa: 01 bến.</t>
  </si>
  <si>
    <t>1190/QĐ-UBND ngày 17/6/2022; 2004/QĐ-UBND ngày 29/9/2022; 2142/QĐ-UBND ngày 18/10/2022</t>
  </si>
  <si>
    <t>2902/QĐ-UBND ngày 29/10/2020; 
1495/QĐ-UBND ngày 15/6/2021; 
701/QĐ-UBND ngày 08/4/2022</t>
  </si>
  <si>
    <t>1943/QĐ-UBND ngày 31/07/2020
1079/QĐ-UBND ngày 01/06/2022; 136/QĐ-UBND ngày 02/02/2023</t>
  </si>
  <si>
    <t>1751/QĐ-UBND ngày 15/07/2020; 46/QĐ-UBND ngày 11/01/2022; 
705/QĐ-UBND ngày 08/04/2022; 
1650/QĐ-UBND ngày 15/8/2022</t>
  </si>
  <si>
    <t>1752/QĐ-UBND ngày 15/07/2020
706/QĐ-UBND ngày 08/04/2022; 
1911/QĐ-UBND ngày 15/9/2022; 
137/QĐ-UBND ngày 02/02/2023</t>
  </si>
  <si>
    <t>1292/QĐ-UBND ngày 03/7/2024</t>
  </si>
  <si>
    <t>496/QĐ-UBND ngày 19/3/2024</t>
  </si>
  <si>
    <t>1653/QĐ-UBND ngày 16/8/2022</t>
  </si>
  <si>
    <t>1197/QĐ-UBND ngày 20/6/2022</t>
  </si>
  <si>
    <t>2424/QĐ-UBND ngày 24/11/2022</t>
  </si>
  <si>
    <t>2425/QĐ-UBND ngày 24/11/2022</t>
  </si>
  <si>
    <t>475/QĐ-UBND ngày 14/3/2024</t>
  </si>
  <si>
    <t>16/QĐ-UBND ngày 07/01/2022</t>
  </si>
  <si>
    <t>3451/QĐ-UBND ngày 14/12/2021</t>
  </si>
  <si>
    <t>2784/QĐ-UBND ngày 07/12/2023</t>
  </si>
  <si>
    <t>2782/QĐ-UBND ngày 07/12/2023</t>
  </si>
  <si>
    <t>10979/QĐ-UBND ngày 4/10/2021;
4335/QĐ-UBND ngày 24/10/2022</t>
  </si>
  <si>
    <t>2504/QĐ-UBND ngày 01/12/2022; 
1285/QĐ-UBND ngày 31/5/2023</t>
  </si>
  <si>
    <t>5169/QĐ-UBND ngày 27/10/2023</t>
  </si>
  <si>
    <t>2547/QĐ-UBND ngày 10/11/2023</t>
  </si>
  <si>
    <t>Giảm trung hạn: 10 tỷ</t>
  </si>
  <si>
    <t>2780/QĐ-UBND ngày 07/12/2023</t>
  </si>
  <si>
    <t>2310/QĐ-UBND ngày 10/11/2022</t>
  </si>
  <si>
    <t>2446/QĐ-UBND ngày 25/11/2022</t>
  </si>
  <si>
    <t>7107/QĐ-UBND ngày 21/11/2023</t>
  </si>
  <si>
    <t>39/QĐ-UBND ngày 11/01/2024</t>
  </si>
  <si>
    <t>Xã Trung Thành - Trung Thành Đông</t>
  </si>
  <si>
    <t>4.280m</t>
  </si>
  <si>
    <t>2507/QĐ-UBND ngày 02/12/2022</t>
  </si>
  <si>
    <t>Nâng cấp Hương lộ Cái Ngang (đoạn từ Quốc lộ 1A đến Cầu Cái Ngang nhỏ)</t>
  </si>
  <si>
    <t>Xã Song Phú, Phú Lộc, huyện Tam Bình</t>
  </si>
  <si>
    <t>7.000m</t>
  </si>
  <si>
    <t>2508/QĐ-UBND ngày 02/12/2022</t>
  </si>
  <si>
    <t>3024/QĐ-UBND ngày 05/11/2021</t>
  </si>
  <si>
    <t>2949/QĐ-UBND ngày 30/10/2020</t>
  </si>
  <si>
    <t>2950/QĐ-UBND ngày 30/10/2020</t>
  </si>
  <si>
    <t>Khu liên hợp xử lý chất thải rắn Hòa Phú. Hạng mục: Đắp bờ bao và trồng cây xanh xung quanh khu đất</t>
  </si>
  <si>
    <t>Xã Hòa Phú, huyện Long Hồ</t>
  </si>
  <si>
    <t>19,8 ha</t>
  </si>
  <si>
    <t>1385/QĐ-UBND ngày 20/7/2022</t>
  </si>
  <si>
    <t>Giảm trung hạn 3 tỷ</t>
  </si>
  <si>
    <t>Giao UBND tỉnh phân khai khu đủ điều kiện</t>
  </si>
  <si>
    <t xml:space="preserve">3364/QĐ-UBND ngày 23/10/2024 </t>
  </si>
  <si>
    <t>10410/QĐ-UBND ngày 23/10/2024</t>
  </si>
  <si>
    <t xml:space="preserve">1623/QĐ-UBND ngày 25/10/2024 </t>
  </si>
  <si>
    <t>12679/QĐ-UBND ngày 24/10/2024</t>
  </si>
  <si>
    <t>1624/QĐ-UBND ngày 25/10/2024</t>
  </si>
  <si>
    <t>12678/QĐ-UBND ngày 24/10/2024</t>
  </si>
  <si>
    <t>1684/QĐ-UBND ngày 03/7/2020;
3613/QĐ-UBND ngày 27/12/2021;
2927/QĐ-UBND ngày 21/12/2023;</t>
  </si>
  <si>
    <t>Phụ lục 8</t>
  </si>
  <si>
    <t>Phụ lục 13</t>
  </si>
  <si>
    <t>Nhà thi đấu đa năng tỉnh Vĩnh Long</t>
  </si>
  <si>
    <t>3.000 chỗ</t>
  </si>
  <si>
    <t>2945/QĐ-UBND ngày 30/10/2020</t>
  </si>
  <si>
    <t>Kế hoạch trung hạn vốn giai đoạn 2021-2025</t>
  </si>
  <si>
    <t>Trong đó, nguồn hỗ trợ</t>
  </si>
  <si>
    <t>Đầu tư nâng cấp, xây dựng mới các hạng mục phụ trợ, chỉnh trang Khu lưu niệm đồng chí Phạm Hùng</t>
  </si>
  <si>
    <t>Nâng cấp, chỉnh trang và xây dựng mới các hạng mục</t>
  </si>
  <si>
    <t>238/QĐ-SKHĐT ngày 24/10/2024</t>
  </si>
  <si>
    <t>Trung tâm hành chính xã Thới Hòa, huyện Trà Ôn</t>
  </si>
  <si>
    <t>Xã Thới Hòa, huyện Trà Ôn</t>
  </si>
  <si>
    <t>28 CCVC</t>
  </si>
  <si>
    <t>4775/QĐ-UBND ngày 12/9/2023</t>
  </si>
  <si>
    <t>Trung tâm hành chính xã Tân An Luông, huyện Vũng Liêm</t>
  </si>
  <si>
    <t>Xã Tân An Luông, huyện Vũng Liêm</t>
  </si>
  <si>
    <t>1675/QĐ-UBND ngày 30/10/2020</t>
  </si>
  <si>
    <t xml:space="preserve"> - Hụt thu cân đối ngân sách.
 - Bổ sung trung hạn 246 tỷ đồng</t>
  </si>
  <si>
    <t>Trong đó, nguồn viện trợ</t>
  </si>
  <si>
    <t>Viện trợ của tổ chức phi chính phủ nước ngoài</t>
  </si>
  <si>
    <t>Kế hoạch năm 2025</t>
  </si>
  <si>
    <t>Lĩnh vực Nông nghiệp</t>
  </si>
  <si>
    <t>Hỗ trợ đầu tư trang thiết bị hệ thống xay xát gạo cho Hợp tác xã sản xuất dịch vụ nông nghiệp Tấn Đạt xã Trung Ngãi, huyện Vũng Liêm</t>
  </si>
  <si>
    <t xml:space="preserve"> - Bổ sung trung hạn 40,929 tỷ đồng do hụt thu tiền sử dụng đất hàng năm</t>
  </si>
  <si>
    <t>Kế hoạch vốn đã bố trí từ năm 2021 hết năm 2024</t>
  </si>
  <si>
    <t>Phụ lục 14</t>
  </si>
  <si>
    <t>Kế hoạch phân bổ 2021-2023</t>
  </si>
  <si>
    <t>I.2</t>
  </si>
  <si>
    <t>2710a/QĐ-UBND ngày 29/11/2023</t>
  </si>
  <si>
    <t>338/QĐ-UBND ngày 27/02/2024</t>
  </si>
  <si>
    <t>Kế hoạch trung hạn còn lại</t>
  </si>
  <si>
    <t>Bố trí thực hiện dự án chuyển tiếp</t>
  </si>
  <si>
    <t>558/QĐ-UBND ngày 22/03/2022;
3009/QĐ-UBND ngày 04/11/2021</t>
  </si>
  <si>
    <t>1740/QĐ-UBND ngày 21/7/2023</t>
  </si>
  <si>
    <t>Bổ sung trung hạn: 20 tỷ</t>
  </si>
  <si>
    <t>Giảm trung hạn 9,35 tỷ</t>
  </si>
  <si>
    <t>Phủ bạt hồ chứa nước rỉ rác, xã Hòa Phú, huyện Long Hồ</t>
  </si>
  <si>
    <t>xã Hòa Phú, huyện Long Hồ</t>
  </si>
  <si>
    <t>Xã Vĩnh Xuân</t>
  </si>
  <si>
    <t>Kế hoạch trung hạn vốn NST giai đoạn 2021-2025 đã được phê duyệt (chưa bao gồm số trung hạn dự kiến bổ sung được ghi ở cột ghi chú)</t>
  </si>
  <si>
    <t>2918/QĐ-UBND ngày 29/10/2021</t>
  </si>
  <si>
    <t>3512/QĐ-UBND ngày 22/12/2021; 
577/QĐ-UBND ngày 23/3/2022; 
1064/QĐ-UBND ngày 31/5/2022</t>
  </si>
  <si>
    <t>1937/QĐ-UBND ngày 21/9/2022</t>
  </si>
  <si>
    <t>3943/QĐ-UBND ngày 09/11/2022</t>
  </si>
  <si>
    <t>2506/QĐ-UBND ngày 02/12/2022</t>
  </si>
  <si>
    <t>664/QĐ-UBND ngày 03/4/2024</t>
  </si>
  <si>
    <t xml:space="preserve"> 573/QĐ-UBND ngày 26/3/2024;
2107/QĐ-UBND ngày 22/10/2024</t>
  </si>
  <si>
    <t>965/QĐ-UBND ngày 19/5/2023</t>
  </si>
  <si>
    <t>04/QĐ-SKHĐT ngày 05/01/2024</t>
  </si>
  <si>
    <t>05/QĐ-SKHĐT ngày 05/01/2024</t>
  </si>
  <si>
    <t>1214/QĐ-UBND ngày 21/5/2021;
1731/QĐ-UBND ngày 25/8/2022</t>
  </si>
  <si>
    <t>87/QĐ-SKHĐT ngày 10/4/2024</t>
  </si>
  <si>
    <t>I.3</t>
  </si>
  <si>
    <t>Kế hoạch trung hạn vốn NST giai đoạn 2021-2026</t>
  </si>
  <si>
    <t>Kế hoạch trung hạn vốn NST giai đoạn 2021-2027</t>
  </si>
  <si>
    <t>Kế hoạch trung hạn vốn NST giai đoạn 2021-2028</t>
  </si>
  <si>
    <t>Kế hoạch trung hạn vốn NST giai đoạn 2021-2029</t>
  </si>
  <si>
    <t>Kế hoạch trung hạn vốn NST giai đoạn 2021-2030</t>
  </si>
  <si>
    <t>Kế hoạch trung hạn vốn NST giai đoạn 2021-2031</t>
  </si>
  <si>
    <t>Kế hoạch trung hạn vốn NST giai đoạn 2021-2032</t>
  </si>
  <si>
    <t>Kế hoạch trung hạn vốn NST giai đoạn 2021-2033</t>
  </si>
  <si>
    <t>Kế hoạch trung hạn vốn NST giai đoạn 2021-2034</t>
  </si>
  <si>
    <t>Kế hoạch trung hạn vốn NST giai đoạn 2021-2035</t>
  </si>
  <si>
    <t>Phụ lục 16</t>
  </si>
  <si>
    <t>Theo Công văn số 152/HĐND ngày 09/8/2024 của Hội đồng nhân dân tỉnh</t>
  </si>
  <si>
    <t xml:space="preserve">CHI TIẾT KẾ HOẠCH ĐẦU TƯ CÔNG NĂM 2025: 
</t>
  </si>
  <si>
    <t xml:space="preserve">CHI TIẾT KẾ HOẠCH ĐẦU TƯ CÔNG NĂM 2025: </t>
  </si>
  <si>
    <t>NGUỒN XỔ SỐ KIẾN THIẾT THỰC HIỆN CÁC CHƯƠNG TRÌNH MỤC TIÊU QUỐC GIA</t>
  </si>
  <si>
    <t>CHI TIẾT KẾ HOẠCH ĐẦU TƯ CÔNG NĂM 2025:</t>
  </si>
  <si>
    <t>NGUỒN VƯỢT THU XỔ SỐ KIẾN THIẾT</t>
  </si>
  <si>
    <t xml:space="preserve">NGUỒN KẾT DƯ XỔ SỐ KIẾN THIẾT NĂM 2022		</t>
  </si>
  <si>
    <t>Đối ứng Chương trình mục tiêu quốc gia Chương trình mục tiêu quốc gia phát triển kinh tế - xã hội vùng đồng bào dân tộc thiểu số và miền núi giai đoạn 2021-2030, giai đoạn I: từ năm 2021 đến năm 2025</t>
  </si>
  <si>
    <t>Dự án 10. Truyền thông, tuyên truyền, vận động trong vùng đồng bào dân tộc thiểu số và miền núi. Kiểm tra, giám sát đánh giá việc tổ chức thực hiện Chương trình</t>
  </si>
  <si>
    <t>Tiểu dự án 2: Ứng dụng công nghệ thông tin hỗ trợ phát triển kinh tế - xã hội và đảm bảo an ninh trật tự vùng đồng bào dân tộc thiểu số</t>
  </si>
  <si>
    <t>NGUỒN VƯỢT THU XỔ SỐ KIẾN THIẾT NĂM 2022</t>
  </si>
  <si>
    <t>CHI TIẾT BỔ SUNG KẾ HOẠCH ĐẦU TƯ CÔNG NĂM 2025:</t>
  </si>
  <si>
    <t>NGUỒN MƯỢN CỦA ĐÀI PHÁT THANH VÀ TRUYỀN HÌNH VĨNH LONG</t>
  </si>
  <si>
    <t>NGUỒN VỐN CÔNG ĐOÀN NGÀNH NGÂN HÀNG TÀI TRỢ</t>
  </si>
  <si>
    <t>CHI TIẾT KẾ HOẠCH ĐẦU TƯ CÔNG NĂM 2025</t>
  </si>
  <si>
    <t>NGUỒN VỐN VIỆN TRỢ KHÔNG HOÀN LẠI CỦA NƯỚC NGOÀI</t>
  </si>
  <si>
    <t>NGUỒN KẾT DƯ NGUỒN THU TIỀN SỬ DỤNG ĐẤT</t>
  </si>
  <si>
    <t>12073/QĐ-UBND ngày 12/9/2024</t>
  </si>
  <si>
    <t>1786/QĐ-UBND ngày 12/9/2024</t>
  </si>
  <si>
    <t>180/QĐ-SKHĐT ngày 28/8/2024</t>
  </si>
  <si>
    <t>2216/QĐ-UBND ngày 30/10/2024</t>
  </si>
  <si>
    <t>3532/QĐ-UBND ngày 04/7/2024</t>
  </si>
  <si>
    <t>4152/QĐ-UBND ngày09/8/2024</t>
  </si>
  <si>
    <t>1766/QĐ-UBND ngày 09/9/2024</t>
  </si>
  <si>
    <t>1,254km</t>
  </si>
  <si>
    <t>9.056m</t>
  </si>
  <si>
    <t>5497/QĐ-UBND ngày 25/10/2024</t>
  </si>
  <si>
    <t>5498/QĐ-UBND ngày 25/10/2024</t>
  </si>
  <si>
    <t>Phủ  bạt 2,7 ha</t>
  </si>
  <si>
    <t>240/QĐ-SKHĐT ngày 25/10/2024</t>
  </si>
  <si>
    <t>Các xã Tân Mỹ, Trà Côn thuộc huyện Trà Ôn; Loan Mỹ thuộc huyện Tam Bình; Đông Thành, Đông Bình thuộc thị xã Bình Minh</t>
  </si>
  <si>
    <t>Đầu tư mua sắm, lắp đặt thiết bị</t>
  </si>
  <si>
    <t>224/QĐ-SKHĐT ngày 22/10/2024</t>
  </si>
  <si>
    <t>Cải tạo, sửa chữa và xây dựng mới</t>
  </si>
  <si>
    <t>220/QĐ-SKHĐT ngày 15/10/2024</t>
  </si>
  <si>
    <t>Xã Mỹ Phước, huyện Mang Thít</t>
  </si>
  <si>
    <t>222/QĐ-SKHĐT ngày 17/10/2024</t>
  </si>
  <si>
    <t>232/QĐ-SKHĐT ngày 22/10/2024</t>
  </si>
  <si>
    <t>Xã Hòa Ninh, huyện Long Hồ</t>
  </si>
  <si>
    <t>hường Cái Vồn, thị xã Bình Minh</t>
  </si>
  <si>
    <t>223/QĐ-SKHĐT ngày 18/10/2024</t>
  </si>
  <si>
    <t>4089/QĐ-UBND ngày 30/7/2024</t>
  </si>
  <si>
    <t>Nhà văn hoá thể thao cụm ấp Đại Nghĩa - Phú An, xã Trung Thành Đông, huyện Vũng Liêm</t>
  </si>
  <si>
    <t>187/QĐ-SKHĐT ngày 16/9/2024</t>
  </si>
  <si>
    <t>3488/QĐ-UBND ngày 02/7/2024</t>
  </si>
  <si>
    <t>242 trẻ</t>
  </si>
  <si>
    <t>5751/QĐ-UBND ngày 01/11/2023</t>
  </si>
  <si>
    <t>5085/QĐ-UBND ngày 05/12/2022</t>
  </si>
  <si>
    <t>3663/QĐ-UBND ngày 21/7/2023</t>
  </si>
  <si>
    <t>Đường liên ấp Phước Thới B - giáp xã Nhơn Phú (Cái Sao Chánh Thuận - đường huyện 31B), xã Bình Phước, huyện Mang Thít</t>
  </si>
  <si>
    <t>Đường liên ấp Trung Hậu – Trường Thọ (cặp sông Rạch Lá), xã Trung Thành Tây, huyện Vũng Liêm</t>
  </si>
  <si>
    <t>Đường liên ấp Phú Nông, xã Trung Thành Đông, huyện Vũng Liêm</t>
  </si>
  <si>
    <t>3481/QĐ-UBND ngày 27/6/2024</t>
  </si>
  <si>
    <t>Dự phòng chung nguồn cân đối ngân sách năm 2022</t>
  </si>
  <si>
    <t>Dự phòng chung nguồn cân đối ngân sách năm 2023</t>
  </si>
  <si>
    <t>Dự phòng chung nguồn cân đối ngân sách năm 2024</t>
  </si>
  <si>
    <t>NGUỒN DỰ PHÒNG CHUNG KẾ HOẠCH ĐẦU TƯ CÔNG GIAI ĐOẠN 2021-2025</t>
  </si>
  <si>
    <t>Phụ lục 15</t>
  </si>
  <si>
    <t>DANH MỤC MỘT SỐ DỰ ÁN CHO PHÉP BỐ TRÍ VỐN THỰC HIỆN DỰ ÁN 
DO QUÁ THỜI GIAN BỐ TRÍ VỐN THEO QUY ĐỊNH 
(Theo quy định tại khoản 2 Điều 52 Luật Đầu tư công)</t>
  </si>
  <si>
    <t>Thời gian bố trí vốn</t>
  </si>
  <si>
    <t>Quyết định đầu tư hoặc Quyết định đầu tư điều chỉnh</t>
  </si>
  <si>
    <t>Kế hoạch vốn năm 2021</t>
  </si>
  <si>
    <t>Từ năm 2019</t>
  </si>
  <si>
    <t>Đây là dự án lớn, Trung ương hỗ trợ vốn còn hạn chế só với tổng nhu cầu; do đó, ngân sách tỉnh vốn đối ứng hàng năm; ngoài ra, dự án còn vướng GPMB nhiều năm, nhất là chỉnh lý lại hồ sơ đất đai do chương trình Hoàn thiện và Hiện đại hóa hệ thống quản lý đất đai Việt Nam (dự án VLAP) thực hiện sai sót làm kéo dài thời gian GPMB.</t>
  </si>
  <si>
    <t>Cầu Lộ 2 trên tuyến đường Võ Văn Kiệt (Đoạn từ đường Mậu Thân đến đường Nguyễn Huệ), thành phố Vĩnh Long</t>
  </si>
  <si>
    <t>Phường 2 và phường 3, thành phố Vĩnh Long, 
tỉnh Vĩnh Long</t>
  </si>
  <si>
    <t>HL93</t>
  </si>
  <si>
    <t>2019-2025</t>
  </si>
  <si>
    <t>Từ năm 2020</t>
  </si>
  <si>
    <t>2767/QĐ-UBND ngày 31/10/2019</t>
  </si>
  <si>
    <t xml:space="preserve"> - Dự án sử dụng vốn Đài PTTH. 
 - Đài bổ sung trung hạn cuối năm 2023 để tiếp tục thực hiện đơn nguyên 2.</t>
  </si>
  <si>
    <t>Đường Võ Văn Kiệt, thành phố Vĩnh Long, tỉnh Vĩnh Long</t>
  </si>
  <si>
    <t>3609m</t>
  </si>
  <si>
    <t>2379/QĐ-UBND ngày 18/9/2019;
 870/QĐ-UBND, ngày 06/4/2020</t>
  </si>
  <si>
    <t>Đây là dự án lớn, liên kết vùng thực hiện trong thời gian dài. Dư án được Trung ương hỗ trợ vốn thực hiện, ngân sách tỉnh còn nhiều khó khăn để đối ứng thực hiện.</t>
  </si>
  <si>
    <t>Dự án có quy mô đầu tư lớn, phạm vi thực hiện rộng thuộc nhiều địa bàn; đồng thời doTrung ương hỗ trợ vốn còn hạn chế só với tổng nhu cầu; do đó, ngân sách tỉnh vốn đối ứng hàng năm; ngoài ra, hiện dự án vẫn còn vướng GPMB.</t>
  </si>
  <si>
    <t>Lĩnh vực Thủy lợi</t>
  </si>
  <si>
    <t>2018-2024</t>
  </si>
  <si>
    <t>Dự án có quy mô đầu tư lớn, qua nhiều địa bàn, công tác GPMB kéo dài.</t>
  </si>
  <si>
    <t>Từ năm 2018</t>
  </si>
  <si>
    <t>4,83km</t>
  </si>
  <si>
    <t>Từ năm 2017</t>
  </si>
  <si>
    <t>Do vướng mặt bằng, chậm bố trí tái định cư cho người dân. Trong quá trình thực hiện có rà soát lại quy mô đầu tư đầu nên phải thiết kế lại dựa án (giảm quy mô đầu tư) nên ảnh hưởng đến thời gian và tiến độ thực hiện dự án.</t>
  </si>
  <si>
    <t>1026/QĐ-UBND ngày 07/5/2019; 
1402/QĐ-UBND ngày 10/6/2020;
1608/QĐ-UBND ngày 23/6/2020; 
2134/QĐ-UBND ngày 11/8/2021</t>
  </si>
  <si>
    <t>Trong quá trình thực hiện, dự án phải điều chỉnh thiết kế, số hộ dân bị ảnh hưởng lớn; ngoài ra, công tác giải phóng mặt bằng bị vướng do khu đất của Chi cục Đăng kiểm và Quản lý thị trường giải quyết chậm.</t>
  </si>
  <si>
    <t>Xã Thanh Bình và xã Quới Thiện, huyện Vũng Liêm</t>
  </si>
  <si>
    <t>Dự án thực hiện theo tuyến, khối lượng giải phóng mặt bằng lớn; một số hạng mục vướng GPMB kéo dài (phần để bao thực hiện theo phương châm nhà nước và người dân cùng làm, hỗ trợ một phần giá đất nên gặp khó khăn trong GPMB và kéo dài); điều chỉnh thiết kế nên kéo dài thời gian thực hiện</t>
  </si>
  <si>
    <r>
      <rPr>
        <b/>
        <u/>
        <sz val="13"/>
        <rFont val="Times New Roman"/>
        <family val="1"/>
        <charset val="163"/>
      </rPr>
      <t>Ghi chú</t>
    </r>
    <r>
      <rPr>
        <b/>
        <sz val="13"/>
        <rFont val="Times New Roman"/>
        <family val="1"/>
        <charset val="163"/>
      </rPr>
      <t xml:space="preserve">: </t>
    </r>
    <r>
      <rPr>
        <sz val="13"/>
        <rFont val="Times New Roman"/>
        <family val="1"/>
        <charset val="163"/>
      </rPr>
      <t>Số vốn chi tiết của từng dự án được nêu tại các phụ lục 3, 5</t>
    </r>
  </si>
  <si>
    <t>Giảm trung hạn 9,551 tỷ</t>
  </si>
  <si>
    <t>Nâng cấp, mở rộng Đường Phan Văn Năm (đoạn từ đường 3 tháng 2 đến đường Nguyễn Văn Thảnh) phường Cái Vồn, thị xã Bình Minh</t>
  </si>
  <si>
    <t>246/QĐ-SKHĐT ngày 31/10/2024</t>
  </si>
  <si>
    <t>2224/QĐ-UBND ngày 30/10/2024</t>
  </si>
  <si>
    <t>2601/QĐ-UBND ngày 16/11/2023</t>
  </si>
  <si>
    <t>2602/QĐ-UBND ngày 16/11/2023</t>
  </si>
  <si>
    <t>2932/QĐ-UBND ngày 30/10/2020; 
117/QĐ-UBND ngày 18/01/2022;  
64/QĐ-UBND ngày 12/01/2024</t>
  </si>
  <si>
    <t>Công trình khởi công mới cần phải thực hiện trong năm 2025 nhưng chưa đủ điều kiện giao vốn</t>
  </si>
  <si>
    <t>Ủy ban nhân dân tỉnh giao chi tiết kế hoạch vốn khi các dự án đảm bảo đủ điều kiện, thủ tục theo quy định của Luật Đầu tư công</t>
  </si>
  <si>
    <t>2228/QĐ-UBND ngày 31/10/2024</t>
  </si>
  <si>
    <t>Giảm trung hạn 15 tỷ</t>
  </si>
  <si>
    <t>Bổ sung trung hạn: 6 tỷ</t>
  </si>
  <si>
    <t>Bổ sung trung hạn 10,501 tỷ để thanh toán chi phí GPMB tăng</t>
  </si>
  <si>
    <t>4088/QĐ-UBND ngày 30/7/2024</t>
  </si>
  <si>
    <t>Đơn vị tính: Triệu đồng</t>
  </si>
  <si>
    <t>A.1</t>
  </si>
  <si>
    <t>A.2</t>
  </si>
  <si>
    <t>Chuẩn bị đầu tư - Chuẩn bị thực hiện dự án; Quyết toán, tất toán dự án hoàn thành</t>
  </si>
  <si>
    <t>C.3</t>
  </si>
  <si>
    <t>Bố trí vốn thực hiện đối ứng trung ương thực hiện dự án thích ứng biến đổi khí hậu (DPO) do Thủ tướng Chính phủ quyết định chủ trương đầu tư</t>
  </si>
  <si>
    <t>Cải tạo, sửa chữa các công trình y tế, giáo dục, dạy nghề, văn hóa, thể dục - thể thao</t>
  </si>
  <si>
    <t>Hoàn nguồn các dự án sử dụng vốn sự nghiệp từ NSTW thực hiện CTMTQG theo kết luận của Kiểm toán nhà nước</t>
  </si>
  <si>
    <t>NGUỒN KẾT DƯ XỔ SỐ KIẾN THIẾT NĂM 2022</t>
  </si>
  <si>
    <t>N</t>
  </si>
  <si>
    <t>TỔNG HỢP KẾ HOẠCH ĐẦU TƯ CÔNG NĂM 2025</t>
  </si>
  <si>
    <t>C.4</t>
  </si>
  <si>
    <t>NGUỒN BỘI CHI NGÂN SÁCH ĐỊA PHƯƠNG NĂM 2025</t>
  </si>
  <si>
    <t>O</t>
  </si>
  <si>
    <t>Chi tiết tại phụ lục 15</t>
  </si>
  <si>
    <t xml:space="preserve">Công trình khởi công mới </t>
  </si>
  <si>
    <t>Trụ sở làm việc Đảng bộ khối cơ quan và Doanh nghiệp tỉnh và Ban Tuyên giáo Tỉnh ủy</t>
  </si>
  <si>
    <t>Phường 9, thành phố Vĩnh Long</t>
  </si>
  <si>
    <t>1.887,5m2</t>
  </si>
  <si>
    <t>1115/QĐ-UBND ngày 14/5/2021</t>
  </si>
  <si>
    <t>Còn bố trí nguồn dự phòng trung hạn: 22,254 tỷ
 - Bổ sung trung hạn 9,834 ỷ đồng</t>
  </si>
  <si>
    <t>1026/QĐ-UBND ngày 07/5/2019; 
1402/QĐ-UBND ngày 10/6/2020; 
1608/QĐ-UBND ngày 23/6/2020; 
2134/QĐ-UBND ngày 11/8/2021;
2795/QĐ-UBND ngày 29/12/2022</t>
  </si>
  <si>
    <t>Thị trấn Cái Nhum, huyện Mang Thít</t>
  </si>
  <si>
    <t>Theo văn bản số 8222/BKHĐT-TH ngày 08/10.2024, số vốn được phân bổ là 2.140 tỷ đồng.</t>
  </si>
  <si>
    <t>Theo văn bản số 8222/BKHĐT-TH ngày 08/10.2024, số vốn được phân bổ là 638,3 tỷ đồng.</t>
  </si>
  <si>
    <t>Kế hoạch phân bổ đến hết năm 2024</t>
  </si>
  <si>
    <t>Kế hoạch trung hạn vốn NST giai đoạn 2021-2025</t>
  </si>
  <si>
    <t>Giảm trung hạn: 3 tỷ</t>
  </si>
  <si>
    <t>Trường tiểu học Trung Thành A, huyện Vũng Liêm</t>
  </si>
  <si>
    <t>Xã Trung Thành</t>
  </si>
  <si>
    <t>496 học sinh</t>
  </si>
  <si>
    <t>2935/QĐ-UBND ngày 29/10/2021</t>
  </si>
  <si>
    <t>Còn bố trí nguồn mượn của ĐPTTH 640 tỷ</t>
  </si>
  <si>
    <t>Xã nông thôn mới, nông thôn mới nâng cao.</t>
  </si>
  <si>
    <t>Còn bố trí nguồn dự phòng trung hạn: 22,254 tỷ</t>
  </si>
  <si>
    <t>Còn bố trí vốn Đài PTTH: 10 tỷ</t>
  </si>
  <si>
    <t>Lĩnh vực Giáo dục</t>
  </si>
  <si>
    <t>Từ năm 2022</t>
  </si>
  <si>
    <t>Trong quá trình thực hiện phải điều chỉnh danh mục thiết bị theo quy định của Bộ Giáo dục và Đào tạo</t>
  </si>
  <si>
    <t>Bố trí vốn quyết toán, chủ đầu tư thực hiện công tác quyết toán dự án chậm</t>
  </si>
  <si>
    <t>Từ năm 2021</t>
  </si>
  <si>
    <t>Dự án phát sinh hạng mục Hồ nhạc nước để đáp ứng nhu cầu hưởng thụ văn hóa của nhân dân</t>
  </si>
  <si>
    <t>Bổ sung vốn để thanh toán khối lượng hoàn thành</t>
  </si>
  <si>
    <t>Dự án phát sinh một số hạng mục để đáp ứng yêu cầu khi đưa vào sử dụng</t>
  </si>
  <si>
    <t>2019-2023</t>
  </si>
  <si>
    <t>Bố trí vốn để quyết toán, tất toán dự án</t>
  </si>
  <si>
    <t>33.740 m2</t>
  </si>
  <si>
    <t>39.820 m2</t>
  </si>
  <si>
    <t>25.680 m2</t>
  </si>
  <si>
    <t>Vướng công tác đấu thầu, phải hủy thầu và mời thầu lại lần 3</t>
  </si>
  <si>
    <t>1230/QĐ-UBND ngày 07/6/2017; 
266/NQ-HĐND ngày 15/9/2020; 
964/QĐ-UBND ngày 29/4/2021</t>
  </si>
  <si>
    <t>2647/QĐ-UBND ngày 31/10/2016; 
3076/QĐ-UBND ngày 10/12/2019</t>
  </si>
  <si>
    <t>1005/QĐ-UBND ngày 25/5/2022; 
2065/QĐ-UBND ngày 16/10/2024</t>
  </si>
  <si>
    <t>Lĩnh vực Công nghệ thông tin</t>
  </si>
  <si>
    <t>Chưa bố trí đủ vốn trung hạn</t>
  </si>
  <si>
    <t>Đã bố trí đủ vốn trung hạn</t>
  </si>
  <si>
    <t>2200
Chưa bố trí đủ trong trung hạn, dự án dư vốn</t>
  </si>
  <si>
    <t>Đã bố trí đủ vốn</t>
  </si>
  <si>
    <t>Chưa bố trí đủ vốn</t>
  </si>
  <si>
    <t>Bố trí thực hiện dự án</t>
  </si>
  <si>
    <t>Đối ứng Chương trình mục tiêu quốc gia phát triển kinh tế - xã hội vùng đồng bào dân tộc thiểu số và miền núi giai đoạn 2021-2030, giai đoạn I: từ năm 2021 đến năm 2025</t>
  </si>
  <si>
    <t>Đối ứng Chương trình mục tiêu quốc gia xây dựng nông thôn mới</t>
  </si>
  <si>
    <t>Đối ứng Chương trình mục tiêu quốc gia xây dựng nông thôn mới, nông thôn mới nâng cao</t>
  </si>
  <si>
    <r>
      <rPr>
        <b/>
        <sz val="13"/>
        <rFont val="Times New Roman"/>
        <family val="1"/>
      </rPr>
      <t xml:space="preserve"> - Bổ sung trung hạn: 25 tỷ</t>
    </r>
    <r>
      <rPr>
        <sz val="13"/>
        <rFont val="Times New Roman"/>
        <family val="1"/>
        <charset val="163"/>
      </rPr>
      <t xml:space="preserve">
 - Đã bố trí đủ vốn trung hạn sau điều chỉnh</t>
    </r>
  </si>
  <si>
    <r>
      <t xml:space="preserve"> - Trung hạn còn lại của nguồn CĐNS là 262 tỷ đồng nhưng do hụt thu nên bố trí 1 tỷ.
</t>
    </r>
    <r>
      <rPr>
        <b/>
        <sz val="13"/>
        <rFont val="Times New Roman"/>
        <family val="1"/>
      </rPr>
      <t xml:space="preserve"> - Dự kiến bố trí bổ sung từ nguồn XSKT là 246 tỷ đồng.</t>
    </r>
  </si>
  <si>
    <r>
      <rPr>
        <b/>
        <sz val="13"/>
        <rFont val="Times New Roman"/>
        <family val="1"/>
      </rPr>
      <t xml:space="preserve"> - Giảm trung hạn 2,4 tỷ.</t>
    </r>
    <r>
      <rPr>
        <sz val="13"/>
        <rFont val="Times New Roman"/>
        <family val="1"/>
        <charset val="163"/>
      </rPr>
      <t xml:space="preserve">
 - Chưa bố trí đủ vốn trung hạn</t>
    </r>
  </si>
  <si>
    <r>
      <t xml:space="preserve"> - Trung hạn còn lại của nguồn CĐNS là 70,929 tỷ đồng nhưng do hụt thu nên bố trí 30 tỷ.
</t>
    </r>
    <r>
      <rPr>
        <b/>
        <sz val="13"/>
        <rFont val="Times New Roman"/>
        <family val="1"/>
      </rPr>
      <t xml:space="preserve"> - Dự kiến bố trí bổ sung từ nguồn XSKT là 40,929 tỷ đồng.</t>
    </r>
  </si>
  <si>
    <r>
      <rPr>
        <b/>
        <sz val="13"/>
        <rFont val="Times New Roman"/>
        <family val="1"/>
      </rPr>
      <t xml:space="preserve"> - Giảm trung hạn 15 tỷ</t>
    </r>
    <r>
      <rPr>
        <sz val="13"/>
        <rFont val="Times New Roman"/>
        <family val="1"/>
        <charset val="163"/>
      </rPr>
      <t xml:space="preserve">
 - Đã bố trí đủ vốn trung hạn sau điều chỉnh</t>
    </r>
  </si>
  <si>
    <t>Ghi chú riêng</t>
  </si>
  <si>
    <r>
      <rPr>
        <b/>
        <sz val="13"/>
        <rFont val="Times New Roman"/>
        <family val="1"/>
      </rPr>
      <t xml:space="preserve"> - Bổ sung trung hạn: 10 tỷ</t>
    </r>
    <r>
      <rPr>
        <sz val="13"/>
        <rFont val="Times New Roman"/>
        <family val="1"/>
        <charset val="163"/>
      </rPr>
      <t xml:space="preserve">
 - Đã bố trí đủ vốn trung hạn sau điều chỉnh</t>
    </r>
  </si>
  <si>
    <t xml:space="preserve"> Đã bố trí đủ vốn trung hạn</t>
  </si>
  <si>
    <r>
      <rPr>
        <b/>
        <sz val="13"/>
        <rFont val="Times New Roman"/>
        <family val="1"/>
      </rPr>
      <t>Bổ sung trung hạn: 8 tỷ</t>
    </r>
    <r>
      <rPr>
        <sz val="13"/>
        <rFont val="Times New Roman"/>
        <family val="1"/>
        <charset val="163"/>
      </rPr>
      <t xml:space="preserve">
 - Đã bố trí đủ vốn trung hạn sau điều chỉnh</t>
    </r>
  </si>
  <si>
    <r>
      <rPr>
        <b/>
        <sz val="13"/>
        <rFont val="Times New Roman"/>
        <family val="1"/>
      </rPr>
      <t>Bổ sung trung hạn: 38 tỷ</t>
    </r>
    <r>
      <rPr>
        <sz val="13"/>
        <rFont val="Times New Roman"/>
        <family val="1"/>
        <charset val="163"/>
      </rPr>
      <t xml:space="preserve">
 - Đã bố trí đủ vốn trung hạn sau điều chỉnh</t>
    </r>
  </si>
  <si>
    <r>
      <rPr>
        <b/>
        <sz val="13"/>
        <rFont val="Times New Roman"/>
        <family val="1"/>
      </rPr>
      <t>Bổ sung trung hạn: 6 tỷ</t>
    </r>
    <r>
      <rPr>
        <sz val="13"/>
        <rFont val="Times New Roman"/>
        <family val="1"/>
        <charset val="163"/>
      </rPr>
      <t xml:space="preserve">
 - Đã bố trí đủ vốn trung hạn sau điều chỉnh</t>
    </r>
  </si>
  <si>
    <r>
      <rPr>
        <b/>
        <sz val="13"/>
        <rFont val="Times New Roman"/>
        <family val="1"/>
      </rPr>
      <t xml:space="preserve"> - Bổ sung trung hạn 246 tỷ đồng để bù hụt thu cân đối ngân sách</t>
    </r>
    <r>
      <rPr>
        <sz val="13"/>
        <rFont val="Times New Roman"/>
        <family val="1"/>
        <charset val="163"/>
      </rPr>
      <t xml:space="preserve">
 - Đã bố trí đủ vốn trung hạn sau điều chỉnh trong năm 2025</t>
    </r>
  </si>
  <si>
    <r>
      <rPr>
        <b/>
        <sz val="13"/>
        <rFont val="Times New Roman"/>
        <family val="1"/>
      </rPr>
      <t xml:space="preserve"> - Bổ sung trung hạn 40,929 tỷ đồng</t>
    </r>
    <r>
      <rPr>
        <sz val="13"/>
        <rFont val="Times New Roman"/>
        <family val="1"/>
        <charset val="163"/>
      </rPr>
      <t xml:space="preserve"> do hụt thu tiền sử dụng đất hàng năm
 - Đã bố trí đủ vốn trung hạn sau điều chỉnh trong năm 2025</t>
    </r>
  </si>
  <si>
    <r>
      <rPr>
        <b/>
        <sz val="13"/>
        <rFont val="Times New Roman"/>
        <family val="1"/>
      </rPr>
      <t>Bổ sung trung hạn: 109 tỷ</t>
    </r>
    <r>
      <rPr>
        <sz val="13"/>
        <rFont val="Times New Roman"/>
        <family val="1"/>
        <charset val="163"/>
      </rPr>
      <t xml:space="preserve">
 - Đã bố trí đủ vốn trung hạn sau điều chỉnh</t>
    </r>
  </si>
  <si>
    <r>
      <rPr>
        <b/>
        <sz val="13"/>
        <rFont val="Times New Roman"/>
        <family val="1"/>
      </rPr>
      <t xml:space="preserve"> - Bổ sung trung hạn: 116 tỷ</t>
    </r>
    <r>
      <rPr>
        <sz val="13"/>
        <rFont val="Times New Roman"/>
        <family val="1"/>
        <charset val="163"/>
      </rPr>
      <t xml:space="preserve">
 - Đã bố trí đủ vốn trung hạn sau điều chỉnh</t>
    </r>
  </si>
  <si>
    <r>
      <rPr>
        <b/>
        <sz val="13"/>
        <rFont val="Times New Roman"/>
        <family val="1"/>
      </rPr>
      <t>Giảm trung hạn: 10 tỷ</t>
    </r>
    <r>
      <rPr>
        <sz val="13"/>
        <rFont val="Times New Roman"/>
        <family val="1"/>
        <charset val="163"/>
      </rPr>
      <t xml:space="preserve">
 - Đã bố trí đủ vốn trung hạn sau điều chỉnh</t>
    </r>
  </si>
  <si>
    <r>
      <rPr>
        <b/>
        <sz val="13"/>
        <rFont val="Times New Roman"/>
        <family val="1"/>
      </rPr>
      <t>Giảm trung hạn: 3 tỷ</t>
    </r>
    <r>
      <rPr>
        <sz val="13"/>
        <rFont val="Times New Roman"/>
        <family val="1"/>
        <charset val="163"/>
      </rPr>
      <t xml:space="preserve">
 - Đã bố trí đủ vốn trung hạn sau điều chỉnh</t>
    </r>
  </si>
  <si>
    <r>
      <rPr>
        <b/>
        <sz val="13"/>
        <rFont val="Times New Roman"/>
        <family val="1"/>
      </rPr>
      <t xml:space="preserve"> - Giảm trung hạn 18 tỷ</t>
    </r>
    <r>
      <rPr>
        <sz val="13"/>
        <rFont val="Times New Roman"/>
        <family val="1"/>
        <charset val="163"/>
      </rPr>
      <t xml:space="preserve">
 - Đã bố trí đủ vốn trung hạn sau điều chỉnh</t>
    </r>
  </si>
  <si>
    <r>
      <rPr>
        <b/>
        <sz val="13"/>
        <rFont val="Times New Roman"/>
        <family val="1"/>
      </rPr>
      <t xml:space="preserve"> - Bổ sung trung hạn: 55 tỷ</t>
    </r>
    <r>
      <rPr>
        <sz val="13"/>
        <rFont val="Times New Roman"/>
        <family val="1"/>
        <charset val="163"/>
      </rPr>
      <t xml:space="preserve">
 - Đã bố trí đủ vốn trung hạn sau điều chỉnh</t>
    </r>
  </si>
  <si>
    <r>
      <rPr>
        <b/>
        <sz val="13"/>
        <rFont val="Times New Roman"/>
        <family val="1"/>
      </rPr>
      <t xml:space="preserve"> - Giảm trung hạn 10,5 tỷ</t>
    </r>
    <r>
      <rPr>
        <sz val="13"/>
        <rFont val="Times New Roman"/>
        <family val="1"/>
        <charset val="163"/>
      </rPr>
      <t xml:space="preserve">
 - Đã bố trí đủ vốn trung hạn sau điều chỉnh</t>
    </r>
  </si>
  <si>
    <r>
      <rPr>
        <b/>
        <sz val="13"/>
        <rFont val="Times New Roman"/>
        <family val="1"/>
      </rPr>
      <t xml:space="preserve"> - Giảm trung hạn 4 tỷ</t>
    </r>
    <r>
      <rPr>
        <sz val="13"/>
        <rFont val="Times New Roman"/>
        <family val="1"/>
        <charset val="163"/>
      </rPr>
      <t xml:space="preserve">
 - Đã bố trí đủ vốn trung hạn sau điều chỉnh</t>
    </r>
  </si>
  <si>
    <r>
      <rPr>
        <b/>
        <sz val="13"/>
        <rFont val="Times New Roman"/>
        <family val="1"/>
      </rPr>
      <t xml:space="preserve"> - Giảm trung hạn 5 tỷ</t>
    </r>
    <r>
      <rPr>
        <sz val="13"/>
        <rFont val="Times New Roman"/>
        <family val="1"/>
        <charset val="163"/>
      </rPr>
      <t xml:space="preserve">
 - Đã bố trí đủ vốn trung hạn sau điều chỉnh</t>
    </r>
  </si>
  <si>
    <r>
      <rPr>
        <b/>
        <sz val="13"/>
        <rFont val="Times New Roman"/>
        <family val="1"/>
      </rPr>
      <t xml:space="preserve"> - Giảm trung hạn 3 tỷ</t>
    </r>
    <r>
      <rPr>
        <sz val="13"/>
        <rFont val="Times New Roman"/>
        <family val="1"/>
        <charset val="163"/>
      </rPr>
      <t xml:space="preserve">
 - Đã bố trí đủ vốn trung hạn sau điều chỉnh</t>
    </r>
  </si>
  <si>
    <r>
      <rPr>
        <b/>
        <sz val="13"/>
        <rFont val="Times New Roman"/>
        <family val="1"/>
      </rPr>
      <t xml:space="preserve"> - Giảm trung hạn 2,3 tỷ</t>
    </r>
    <r>
      <rPr>
        <sz val="13"/>
        <rFont val="Times New Roman"/>
        <family val="1"/>
        <charset val="163"/>
      </rPr>
      <t xml:space="preserve">
 - Đã bố trí đủ trung hạn sau khi điều chỉnh</t>
    </r>
  </si>
  <si>
    <r>
      <rPr>
        <b/>
        <sz val="13"/>
        <rFont val="Times New Roman"/>
        <family val="1"/>
      </rPr>
      <t xml:space="preserve"> - Giảm trung hạn 1,7 tỷ</t>
    </r>
    <r>
      <rPr>
        <sz val="13"/>
        <rFont val="Times New Roman"/>
        <family val="1"/>
        <charset val="163"/>
      </rPr>
      <t xml:space="preserve">
 - Đã bố trí đủ trung hạn sau khi điều chỉnh</t>
    </r>
  </si>
  <si>
    <r>
      <rPr>
        <b/>
        <sz val="13"/>
        <rFont val="Times New Roman"/>
        <family val="1"/>
      </rPr>
      <t xml:space="preserve"> - Giảm trung hạn 885 trđ</t>
    </r>
    <r>
      <rPr>
        <sz val="13"/>
        <rFont val="Times New Roman"/>
        <family val="1"/>
        <charset val="163"/>
      </rPr>
      <t xml:space="preserve">
 - Đã bố trí đủ trung hạn sau khi điều chỉnh</t>
    </r>
  </si>
  <si>
    <r>
      <rPr>
        <b/>
        <sz val="13"/>
        <rFont val="Times New Roman"/>
        <family val="1"/>
      </rPr>
      <t>Giảm trung hạn 21 tỷ</t>
    </r>
    <r>
      <rPr>
        <sz val="13"/>
        <rFont val="Times New Roman"/>
        <family val="1"/>
        <charset val="163"/>
      </rPr>
      <t xml:space="preserve">
Đã bố trí đủ vốn sau khi điều chỉnh trung hạn</t>
    </r>
  </si>
  <si>
    <r>
      <rPr>
        <b/>
        <sz val="13"/>
        <rFont val="Times New Roman"/>
        <family val="1"/>
      </rPr>
      <t>Giảm trung hạn 9,551 tỷ</t>
    </r>
    <r>
      <rPr>
        <sz val="13"/>
        <rFont val="Times New Roman"/>
        <family val="1"/>
        <charset val="163"/>
      </rPr>
      <t xml:space="preserve">
Đã bố trí đủ vốn sau khi điều chỉnh trung hạn</t>
    </r>
  </si>
  <si>
    <r>
      <rPr>
        <b/>
        <sz val="13"/>
        <rFont val="Times New Roman"/>
        <family val="1"/>
      </rPr>
      <t xml:space="preserve"> - Bổ sung trung hạn 1,632 tỷ</t>
    </r>
    <r>
      <rPr>
        <sz val="13"/>
        <rFont val="Times New Roman"/>
        <family val="1"/>
        <charset val="163"/>
      </rPr>
      <t xml:space="preserve"> để quyết toán dự án hoàn thành
 - Đã bố trí đủ vốn sau khi điều chỉnh trung hạn</t>
    </r>
  </si>
  <si>
    <r>
      <rPr>
        <b/>
        <sz val="13"/>
        <rFont val="Times New Roman"/>
        <family val="1"/>
      </rPr>
      <t xml:space="preserve"> - Bổ sung trung hạn 3,902 tỷ</t>
    </r>
    <r>
      <rPr>
        <sz val="13"/>
        <rFont val="Times New Roman"/>
        <family val="1"/>
        <charset val="163"/>
      </rPr>
      <t xml:space="preserve"> thanh toán, quyết toán dự án hoàn thành
 - Đã bố trí đủ vốn sau khi điều chỉnh trung hạn</t>
    </r>
  </si>
  <si>
    <r>
      <rPr>
        <b/>
        <sz val="13"/>
        <rFont val="Times New Roman"/>
        <family val="1"/>
      </rPr>
      <t xml:space="preserve"> - Bổ sungtrung hạn 6,424 tỷ</t>
    </r>
    <r>
      <rPr>
        <sz val="13"/>
        <rFont val="Times New Roman"/>
        <family val="1"/>
        <charset val="163"/>
      </rPr>
      <t xml:space="preserve"> thanh toán, quyết toán dự án hoàn thành
 - Đã bố trí đủ vốn sau khi điều chỉnh trung hạn</t>
    </r>
  </si>
  <si>
    <r>
      <rPr>
        <b/>
        <sz val="13"/>
        <rFont val="Times New Roman"/>
        <family val="1"/>
      </rPr>
      <t xml:space="preserve"> - Bổ sung trung hạn 16 tỷ</t>
    </r>
    <r>
      <rPr>
        <sz val="13"/>
        <rFont val="Times New Roman"/>
        <family val="1"/>
        <charset val="163"/>
      </rPr>
      <t xml:space="preserve"> thanh toán, quyết toán dự án hoàn thành
 - Đã bố trí đủ vốn sau khi điều chỉnh trung hạn</t>
    </r>
  </si>
  <si>
    <r>
      <t xml:space="preserve"> - </t>
    </r>
    <r>
      <rPr>
        <b/>
        <sz val="13"/>
        <color rgb="FFFF0000"/>
        <rFont val="Times New Roman"/>
        <family val="1"/>
      </rPr>
      <t xml:space="preserve">Bổ sung trung hạn 10,501 tỷ để </t>
    </r>
    <r>
      <rPr>
        <sz val="13"/>
        <color rgb="FFFF0000"/>
        <rFont val="Times New Roman"/>
        <family val="1"/>
      </rPr>
      <t>thanh toán chi phí GPMB tăng
 - Đã bố trí đủ vốn sau khi điều chỉnh trung hạn</t>
    </r>
  </si>
  <si>
    <r>
      <rPr>
        <b/>
        <sz val="13"/>
        <rFont val="Times New Roman"/>
        <family val="1"/>
      </rPr>
      <t xml:space="preserve"> - Giảm trung hạn 1,49 tỷ</t>
    </r>
    <r>
      <rPr>
        <sz val="13"/>
        <rFont val="Times New Roman"/>
        <family val="1"/>
        <charset val="163"/>
      </rPr>
      <t xml:space="preserve">
 - Đã bố trí đủ vốn sau khi điều chỉnh trung hạn</t>
    </r>
  </si>
  <si>
    <t>Còn bố trí nguồn XSKT: 60 tỷ</t>
  </si>
  <si>
    <r>
      <rPr>
        <b/>
        <sz val="13"/>
        <rFont val="Times New Roman"/>
        <family val="1"/>
      </rPr>
      <t xml:space="preserve"> - Bổ sung trung hạn 85 tỷ.</t>
    </r>
    <r>
      <rPr>
        <sz val="13"/>
        <rFont val="Times New Roman"/>
        <family val="1"/>
        <charset val="163"/>
      </rPr>
      <t xml:space="preserve">
 - Đã bố trí đủ vốn trung hạn sau điều chỉnh</t>
    </r>
  </si>
  <si>
    <t>Xã nông thôn mới, nông thôn mới nâng cao.
 - Bổ sung trung hạn 85 tỷ.</t>
  </si>
  <si>
    <t>Cấp huyện</t>
  </si>
  <si>
    <t>Cấp tỉnh</t>
  </si>
  <si>
    <t>Đầu tư trang thiết bị hệ thống xay xát gạo</t>
  </si>
  <si>
    <t>Ghi chú riêng
(Không in)</t>
  </si>
  <si>
    <t>Số vón còn lại chưa bố trí trong trung hạn</t>
  </si>
  <si>
    <r>
      <t xml:space="preserve">Còn bố trí nguồn dự phòng trung hạn: 22,254 tỷ
</t>
    </r>
    <r>
      <rPr>
        <b/>
        <sz val="13"/>
        <rFont val="Times New Roman"/>
        <family val="1"/>
      </rPr>
      <t xml:space="preserve"> - Bổ sung trung hạn 20 ỷ đồng</t>
    </r>
    <r>
      <rPr>
        <sz val="13"/>
        <rFont val="Times New Roman"/>
        <family val="1"/>
        <charset val="163"/>
      </rPr>
      <t xml:space="preserve">
 - Đã bố trí đủ vốn trung hạn sau điều chỉnh</t>
    </r>
  </si>
  <si>
    <r>
      <rPr>
        <b/>
        <sz val="13"/>
        <rFont val="Times New Roman"/>
        <family val="1"/>
      </rPr>
      <t xml:space="preserve"> - Bổ sung trung hạn: 22 tỷ</t>
    </r>
    <r>
      <rPr>
        <sz val="13"/>
        <rFont val="Times New Roman"/>
        <family val="1"/>
        <charset val="163"/>
      </rPr>
      <t xml:space="preserve">
 - Bố trí đủ vốn trung hạn sau điều chỉnh.</t>
    </r>
  </si>
  <si>
    <r>
      <t xml:space="preserve"> - Bổ sung trung hạn: 20 tỷ
</t>
    </r>
    <r>
      <rPr>
        <sz val="13"/>
        <rFont val="Times New Roman"/>
        <family val="1"/>
      </rPr>
      <t xml:space="preserve"> - Đã bố trí đủ vốn trung hạn sau điều chỉnh</t>
    </r>
  </si>
  <si>
    <r>
      <rPr>
        <b/>
        <sz val="13"/>
        <rFont val="Times New Roman"/>
        <family val="1"/>
      </rPr>
      <t xml:space="preserve"> - Bổ sung trung hạn 33,5 tỷ đồng</t>
    </r>
    <r>
      <rPr>
        <sz val="13"/>
        <rFont val="Times New Roman"/>
        <family val="1"/>
        <charset val="163"/>
      </rPr>
      <t xml:space="preserve">
 - Đã bố trí đủ vốn trung hạn sau điều chỉnh</t>
    </r>
  </si>
  <si>
    <t xml:space="preserve">Bổ sung trung hạn
 - 24,682 tỷ đồng
 - 8,818 tỷ đồng </t>
  </si>
  <si>
    <t>Tặng thưởng công trình phúc lợi xã hội cho xã đạt NTM, NTM nâng cao, ấp kiểu mẫu,... theo quyết định của UBND tỉnh, huyện đạt chuẩn nông thôn mới</t>
  </si>
  <si>
    <r>
      <t xml:space="preserve"> - Trung hạn còn lại của nguồn CĐNS là 21,527 tỷ đồng nhưng do hụt thu nên bố trí 39,773 tỷ.
 - CP GPMB 55 tỷ.
</t>
    </r>
    <r>
      <rPr>
        <b/>
        <sz val="13"/>
        <rFont val="Times New Roman"/>
        <family val="1"/>
      </rPr>
      <t xml:space="preserve"> - Dự kiến bố trí bổ sung từ nguồn XSKT là 25,227 tỷ đồng.</t>
    </r>
  </si>
  <si>
    <t xml:space="preserve"> - Bổ sung trung hạn nguồn XSKT để bù lại hụt thu nguồn CĐNS
 - Còn bố trí nguồn xổ số kiến thiết 40,929 tỷ đồng.</t>
  </si>
  <si>
    <t xml:space="preserve"> - Bổ sung trung hạn nguồn XSKT để bù lại hụt thu nguồn CĐNS
 - Còn bố trí nguồn xổ số kiến thiết 246 tỷ đồng.</t>
  </si>
  <si>
    <t>Phân bổ 90% của cấp tỉnh</t>
  </si>
  <si>
    <t>Ghi chú riêng
(không in)</t>
  </si>
  <si>
    <t xml:space="preserve">Kế hoạch trung hạn vốn NST giai đoạn 2021-2025 </t>
  </si>
  <si>
    <t xml:space="preserve"> - Bố trí vốn cho dự án sử dụng nguồn thu tiền sử dụng đất năm 2022 bị hụt thu.
 - Nguồn vốn từ CV 2906/STC-QLNS ngày 23/9/2024 của Sở Tài chính.
 - Còn bố trí nguồn DP chung CĐNS 12 tỷ.</t>
  </si>
  <si>
    <t xml:space="preserve"> - Hụt thu cân đối ngân sách.
 - Bổ sung trung hạn 29,527 tỷ đồng
 - CP GPMB 55 tỷ.</t>
  </si>
  <si>
    <t>Còn bố trí được</t>
  </si>
  <si>
    <t xml:space="preserve"> - Giảm trung hạn 2,4 tỷ. Còn bố trí được 4 tỷ
 - Qua làm việc, Dự án chỉ có nhu cầu 5,3 tỷ trong năm 2025</t>
  </si>
  <si>
    <t>Còn bố trí được 2,5 tỷ</t>
  </si>
  <si>
    <r>
      <rPr>
        <b/>
        <sz val="13"/>
        <rFont val="Times New Roman"/>
        <family val="1"/>
      </rPr>
      <t xml:space="preserve"> - Bổ sung trung hạn: 38,788 tỷ</t>
    </r>
    <r>
      <rPr>
        <sz val="13"/>
        <rFont val="Times New Roman"/>
        <family val="1"/>
        <charset val="163"/>
      </rPr>
      <t xml:space="preserve">
 - Đã bố trí đủ vốn trung hạn sau điều chỉnh</t>
    </r>
  </si>
  <si>
    <t>Bổ sung trung hạn: 38,788 tỷ</t>
  </si>
  <si>
    <t>5588/QĐ-UBND ngày 08/11/2024</t>
  </si>
  <si>
    <t>5589/QĐ-UBND ngày 08/11/2024</t>
  </si>
  <si>
    <t>Bổ sung trung hạn 246 tỷ đồng để bù hụt thu cân đối ngân sách</t>
  </si>
  <si>
    <t>Thanh toán, quyết toán, tất toán dự án hoàn thành</t>
  </si>
  <si>
    <t>Đường dẫn vào Cầu Cồn Chim, thành phố Vĩnh Long</t>
  </si>
  <si>
    <t>NGUỒN DỰ PHÒNG NGÂN SÁCH TỈNH NĂM 2024</t>
  </si>
  <si>
    <t>2018-2020</t>
  </si>
  <si>
    <t>85m</t>
  </si>
  <si>
    <t>2435/QD-UBND ngày 08/11/2018</t>
  </si>
  <si>
    <t>Theo văn bản số 8222/BKHĐT-TH ngày 08/10.2024, số vốn được phân bổ là 599,61 tỷ đồng(*).</t>
  </si>
  <si>
    <r>
      <rPr>
        <b/>
        <sz val="16"/>
        <rFont val="Times New Roman"/>
        <family val="1"/>
      </rPr>
      <t>Ghi chú:</t>
    </r>
    <r>
      <rPr>
        <sz val="16"/>
        <rFont val="Times New Roman"/>
        <family val="1"/>
      </rPr>
      <t xml:space="preserve">
(*)Phần vốn còn lại 29 tỷ đồng chuyển sang Sở Tài chính thực hiện ghi thu, ghi chi tiền thuê đất được nhà đầu tư ứng trước để bồi thường, giải phóng mặt bằng theo phương án được cấp có thẩm quyền phê duyệt.</t>
    </r>
  </si>
  <si>
    <r>
      <t xml:space="preserve">Ghi chú:
</t>
    </r>
    <r>
      <rPr>
        <sz val="16"/>
        <rFont val="Times New Roman"/>
        <family val="1"/>
      </rPr>
      <t xml:space="preserve"> Phần thu tiền sử dụng đất cấp tỉnh còn lại là 10,9 tỷ đồng (10%) chuyển sang Sở Tài chính chi thường xuyên cho công tác đo đạc, đăng ký đất đai, lập cơ sở dữ liệu hồ sơ địa chính và cấp giấy chứng nhận quyền sử dụng đất,... theo Quyết định, Chỉ thị của Thủ tướng Chính phủ.</t>
    </r>
  </si>
  <si>
    <t>Đã bao gồm 10% chi thường xuyên thực hiện công tác đo đạc, đăng ký đất đai, lập cơ sở dữ liệu hồ sơ địa chính và cấp giấy chứng nhận quyền sử dụng đất,... (Theo Quyết định số 191/QĐ-TTg ngày 08/02/2024 Chính phủ, Chỉ thị số 1474/CT-TTg ngày 24/8/2011 của Thủ tướng Chính phủ.</t>
  </si>
  <si>
    <t>Lĩnh vực Môi trường</t>
  </si>
  <si>
    <t>Chi tiết tại phụ lục 14</t>
  </si>
  <si>
    <t>2379/QĐ-UBND ngày 18/9/2019; 
870/QĐ-UBND ngày 06/4/2020; 
2139/QĐ-UBND ngày 11/8/2021;
2631/QĐ-UBND ngày 22/11/2023</t>
  </si>
  <si>
    <t>2798/QĐ-UBND ngày 17/11/2016; 
120/QĐ-UBND ngày 18/01/2017; 
2046/QĐ-UBND ngày 20/9/2017; 
2094/QĐ-UBND ngày 05/8/2021; 
1065/QĐ-UBND ngày 31/5/2022;
2992/QĐ-UBND ngày 26/12/2023</t>
  </si>
  <si>
    <t>1838/QĐ-UBND ngày 18/8/2017; 
965/QĐ-UBND ngày 29/4/2021; 
19/NQ-HĐND ngày 02/7/2021; 
2136/QĐ-UBND ngày 11/8/2021;
1018/QĐ-UBND ngày 26/5/2022</t>
  </si>
  <si>
    <t>2634/QĐ-UBND ngày 28/10/2016; 
2959/QĐ-UBND ngày 08/12/2016; 
2623/QĐ-UBND ngày 30/9/2020; 
20/NQ-HĐND ngày 02/7/2021;
2140/QĐ-UBND ngày 11/8/2021;
1866/QĐ-UBND ngày 09/9/2022;
2624/QĐ-UBND ngày 07/9/2023</t>
  </si>
  <si>
    <t>2901/QĐ-UBND ngày 29/10/2020; 
1469/QĐ-UBND ngày 15/6/2021; 
2096/QĐ-UBND ngày 05/8/2021</t>
  </si>
  <si>
    <t>2767/QĐ-UBND ngày 31/10/2019;
2993/QĐ-UBND ngày 26/12/2023</t>
  </si>
  <si>
    <t>689/QĐ-UBND  ngày 07/4/2022;
1595/QĐ-UBND ngày 15/8/2024</t>
  </si>
  <si>
    <t>1005/QĐ-UBND ngày 25/5/2022;
2065/QĐ-UBND ngày 16/10/2024</t>
  </si>
  <si>
    <t>1004/QĐ-UBND ngày 25/5/2022;
2064/QĐ-UBND ngày 16/2024</t>
  </si>
  <si>
    <t>Từ 600 giường lên 960 giường</t>
  </si>
  <si>
    <t>3527/QĐ-UBND ngày 23/12/2021;
2234/QĐ-UBND ngày 23/9/2023</t>
  </si>
  <si>
    <t>Cải tạo, sửa chữa Trường trung học phổ thông Hoàng Thái Hiếu</t>
  </si>
  <si>
    <t>Cải tạo, sửa chữa Trường trung học cơ sở và trung học phổ thông Mỹ Phước</t>
  </si>
  <si>
    <t>5843/QĐ-UBND ngày 09/11/2023</t>
  </si>
  <si>
    <t>4776/QĐ-UBND ngày 20/10/2023</t>
  </si>
  <si>
    <t>Bố trí thực hiện dự án khởi công mới</t>
  </si>
  <si>
    <t>NGUỒN ĐÀI PHÁT THANH VÀ TRUYỀN HÌNH VĨNH LONG NỘP VÀO NGÂN SÁCH TỈNH</t>
  </si>
  <si>
    <t>V.3</t>
  </si>
  <si>
    <t>Số vốn dự kiến bố trí</t>
  </si>
  <si>
    <t>Tuyến tránh QL.57 (đường dẫn cầu Đình Khao)</t>
  </si>
  <si>
    <t>Huyện Mang Thít và Huyện Long Hồ</t>
  </si>
  <si>
    <t>7,2km</t>
  </si>
  <si>
    <t>2024-2028</t>
  </si>
  <si>
    <t>Dự án đầu tư xây dựng cầu Đình Khao nối hai tỉnh Vĩnh Long và Bến Tre theo phương thức đối tác công tư</t>
  </si>
  <si>
    <t>Tỉnh Vĩnh Long và Tỉnh Bến Tre</t>
  </si>
  <si>
    <t>01 Cầu và 4,3km đường giao thông</t>
  </si>
  <si>
    <t>Bổ sung trung hạn: 31 tỷ</t>
  </si>
  <si>
    <t>Phụ lục 17</t>
  </si>
  <si>
    <t>DANH MỤC DỰ ÁN KHỞI CÔNG MỚI CẦN PHẢI THỰC HIỆN TRONG NĂM 2025
NHƯNG CHƯA ĐỦ ĐIỀU KIỆN GIAO VỐN</t>
  </si>
  <si>
    <t>Ghi chú riêng
Dự kiến Kế hoạch vốn năm 2025</t>
  </si>
  <si>
    <t>Tiến độ Hồ sơ thủ tục</t>
  </si>
  <si>
    <t>Dự án đang lập dự án/ báo cáo nghiên cứu khả thi</t>
  </si>
  <si>
    <t>Dự kiến số vốn phân bổ là 366 tỷ đồng</t>
  </si>
  <si>
    <t>292/QĐ-SKHĐT ngày 05/12/2024</t>
  </si>
  <si>
    <t xml:space="preserve"> - Trung hạn còn lại của nguồn CĐNS là 61,3 tỷ đồng nhưng do hụt thu.
 - Dự kiến bố trí bổ sung từ nguồn XSKT là 29,527 tỷ đồng
 - CP GPMB 55 tỷ</t>
  </si>
  <si>
    <r>
      <rPr>
        <b/>
        <sz val="13"/>
        <rFont val="Times New Roman"/>
        <family val="1"/>
      </rPr>
      <t>Bổ sung trung hạn: 82 tỷ</t>
    </r>
    <r>
      <rPr>
        <sz val="13"/>
        <rFont val="Times New Roman"/>
        <family val="1"/>
        <charset val="163"/>
      </rPr>
      <t xml:space="preserve">
 - Đã bố trí đủ vốn trung hạn sau điều chỉnh</t>
    </r>
  </si>
  <si>
    <t>Bổ sung trung hạn: 82 tỷ</t>
  </si>
  <si>
    <t>294/QĐ-SKHĐT-TH ngày 06/12/2024</t>
  </si>
  <si>
    <t>2533/QĐ-UBND ngày 09/12/2024</t>
  </si>
  <si>
    <t>2536/QĐ-UBND ngày 09/12/2024</t>
  </si>
  <si>
    <t>2534/QĐ-UBND ngày 09/12/2024</t>
  </si>
  <si>
    <t>2535/QĐ-UBND ngày 09/12/2024</t>
  </si>
  <si>
    <r>
      <rPr>
        <b/>
        <sz val="13"/>
        <rFont val="Times New Roman"/>
        <family val="1"/>
      </rPr>
      <t xml:space="preserve"> - Gảm trung hạn 76 tỷ đồng</t>
    </r>
    <r>
      <rPr>
        <sz val="13"/>
        <rFont val="Times New Roman"/>
        <family val="1"/>
        <charset val="163"/>
      </rPr>
      <t xml:space="preserve">
 - Trung hạn còn lại của nguồn CĐNS là 24 tỷ đồng nhưng do hụt thu nên bố trí 8,1 tỷ.</t>
    </r>
  </si>
  <si>
    <t>Gảm trung hạn 76 tỷ. Còn bố trí được 8,1 tỷ
 - Qua làm việc, Dự án có nhu cầu 17 tỷ trong năm 2025</t>
  </si>
  <si>
    <t>Chi tiết tại phụ lục 17</t>
  </si>
  <si>
    <t>2490/QĐ-UBND ngày 02/7/2024</t>
  </si>
  <si>
    <t>297/QĐ-SKHĐT ngày 09/12/2024</t>
  </si>
  <si>
    <t>2522/QĐ-UBND ngày 06/12/2024</t>
  </si>
  <si>
    <t>(Ban hành kèm theo Quyết định số: 2631/QĐ-UBND ngày 19/12 /2024 của Ủy ban nhân dân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</si>
</sst>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207">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 _₫_-;\-* #,##0\ _₫_-;_-* &quot;-&quot;\ _₫_-;_-@_-"/>
    <numFmt numFmtId="165" formatCode="_-* #,##0.00\ _₫_-;\-* #,##0.00\ _₫_-;_-* &quot;-&quot;??\ _₫_-;_-@_-"/>
    <numFmt numFmtId="166" formatCode="_-* #,##0\ _€_-;\-* #,##0\ _€_-;_-* &quot;-&quot;??\ _€_-;_-@_-"/>
    <numFmt numFmtId="167" formatCode="_-* #,##0.00\ _€_-;\-* #,##0.00\ _€_-;_-* &quot;-&quot;??\ _€_-;_-@_-"/>
    <numFmt numFmtId="168" formatCode="_-* #,##0.00\ _V_N_D_-;\-* #,##0.00\ _V_N_D_-;_-* &quot;-&quot;??\ _V_N_D_-;_-@_-"/>
    <numFmt numFmtId="169" formatCode="_(* #,##0_);_(* \(#,##0\);_(* &quot;-&quot;??_);_(@_)"/>
    <numFmt numFmtId="170" formatCode="_(* #,##0_);_(* \(#,##0\);_(* \-??_);_(@_)"/>
    <numFmt numFmtId="171" formatCode="0.0%"/>
    <numFmt numFmtId="172" formatCode="_-&quot;$&quot;* #,##0_-;\-&quot;$&quot;* #,##0_-;_-&quot;$&quot;* &quot;-&quot;_-;_-@_-"/>
    <numFmt numFmtId="173" formatCode="&quot;\&quot;#,##0.00;[Red]&quot;\&quot;&quot;\&quot;&quot;\&quot;&quot;\&quot;&quot;\&quot;&quot;\&quot;\-#,##0.00"/>
    <numFmt numFmtId="174" formatCode="&quot;\&quot;#,##0;[Red]&quot;\&quot;&quot;\&quot;\-#,##0"/>
    <numFmt numFmtId="175" formatCode="_-* ###&quot;,&quot;0&quot;.&quot;00\ _$_-;\-* ###&quot;,&quot;0&quot;.&quot;00\ _$_-;_-* &quot;-&quot;??\ _$_-;_-@_-"/>
    <numFmt numFmtId="176" formatCode="&quot;.&quot;###&quot;,&quot;0&quot;.&quot;00_);\(&quot;.&quot;###&quot;,&quot;0&quot;.&quot;00\)"/>
    <numFmt numFmtId="177" formatCode="_-* #,##0_$_-;\-* #,##0_$_-;_-* &quot;-&quot;_$_-;_-@_-"/>
    <numFmt numFmtId="178" formatCode="_-* #,##0_-;\-* #,##0_-;_-* &quot;-&quot;_-;_-@_-"/>
    <numFmt numFmtId="179" formatCode="_-* #,##0.00_-;\-* #,##0.00_-;_-* &quot;-&quot;??_-;_-@_-"/>
    <numFmt numFmtId="180" formatCode="&quot;Rp&quot;#,##0_);[Red]\(&quot;Rp&quot;#,##0\)"/>
    <numFmt numFmtId="181" formatCode="_-* #,##0\ _F_-;\-* #,##0\ _F_-;_-* &quot;-&quot;\ _F_-;_-@_-"/>
    <numFmt numFmtId="182" formatCode="_-* #,##0.00\ _F_-;\-* #,##0.00\ _F_-;_-* &quot;-&quot;??\ _F_-;_-@_-"/>
    <numFmt numFmtId="183" formatCode="_(&quot;$&quot;\ * #,##0_);_(&quot;$&quot;\ * \(#,##0\);_(&quot;$&quot;\ * &quot;-&quot;_);_(@_)"/>
    <numFmt numFmtId="184" formatCode="_-* #,##0\ &quot;F&quot;_-;\-* #,##0\ &quot;F&quot;_-;_-* &quot;-&quot;\ &quot;F&quot;_-;_-@_-"/>
    <numFmt numFmtId="185" formatCode="_ &quot;\&quot;* #,##0_ ;_ &quot;\&quot;* \-#,##0_ ;_ &quot;\&quot;* &quot;-&quot;_ ;_ @_ "/>
    <numFmt numFmtId="186" formatCode="_-* #,##0&quot;$&quot;_-;\-* #,##0&quot;$&quot;_-;_-* &quot;-&quot;&quot;$&quot;_-;_-@_-"/>
    <numFmt numFmtId="187" formatCode="_-* #,##0.00&quot;$&quot;_-;\-* #,##0.00&quot;$&quot;_-;_-* &quot;-&quot;??&quot;$&quot;_-;_-@_-"/>
    <numFmt numFmtId="188" formatCode="&quot;SFr.&quot;\ #,##0.00;&quot;SFr.&quot;\ \-#,##0.00"/>
    <numFmt numFmtId="189" formatCode="_ &quot;SFr.&quot;\ * #,##0_ ;_ &quot;SFr.&quot;\ * \-#,##0_ ;_ &quot;SFr.&quot;\ * &quot;-&quot;_ ;_ @_ "/>
    <numFmt numFmtId="190" formatCode="_ * #,##0_ ;_ * \-#,##0_ ;_ * &quot;-&quot;_ ;_ @_ "/>
    <numFmt numFmtId="191" formatCode="_ * #,##0.00_ ;_ * \-#,##0.00_ ;_ * &quot;-&quot;??_ ;_ @_ "/>
    <numFmt numFmtId="192" formatCode="_-* #,##0.00_$_-;\-* #,##0.00_$_-;_-* &quot;-&quot;??_$_-;_-@_-"/>
    <numFmt numFmtId="193" formatCode=";;"/>
    <numFmt numFmtId="194" formatCode="#,##0.0_);\(#,##0.0\)"/>
    <numFmt numFmtId="195" formatCode="&quot;$&quot;#,##0.00"/>
    <numFmt numFmtId="196" formatCode="_ * #,##0.00_)&quot;£&quot;_ ;_ * \(#,##0.00\)&quot;£&quot;_ ;_ * &quot;-&quot;??_)&quot;£&quot;_ ;_ @_ "/>
    <numFmt numFmtId="197" formatCode="_-&quot;$&quot;* #,##0.00_-;\-&quot;$&quot;* #,##0.00_-;_-&quot;$&quot;* &quot;-&quot;??_-;_-@_-"/>
    <numFmt numFmtId="198" formatCode="0.0%;\(0.0%\)"/>
    <numFmt numFmtId="199" formatCode="_-* #,##0.00\ &quot;F&quot;_-;\-* #,##0.00\ &quot;F&quot;_-;_-* &quot;-&quot;??\ &quot;F&quot;_-;_-@_-"/>
    <numFmt numFmtId="200" formatCode="0.000_)"/>
    <numFmt numFmtId="201" formatCode="#\ ###\ ###"/>
    <numFmt numFmtId="202" formatCode="_ &quot;R&quot;\ * #,##0_ ;_ &quot;R&quot;\ * \-#,##0_ ;_ &quot;R&quot;\ * &quot;-&quot;_ ;_ @_ "/>
    <numFmt numFmtId="203" formatCode="\$#,##0\ ;\(\$#,##0\)"/>
    <numFmt numFmtId="204" formatCode="#\ ###\ ##0.0"/>
    <numFmt numFmtId="205" formatCode="#\ ###\ ###\ .00"/>
    <numFmt numFmtId="206" formatCode="_-[$€-2]* #,##0.00_-;\-[$€-2]* #,##0.00_-;_-[$€-2]* &quot;-&quot;??_-"/>
    <numFmt numFmtId="207" formatCode="_(* #,##0.000000_);_(* \(#,##0.000000\);_(* &quot;-&quot;??_);_(@_)"/>
    <numFmt numFmtId="208" formatCode="#."/>
    <numFmt numFmtId="209" formatCode="0.000"/>
    <numFmt numFmtId="210" formatCode="_-&quot;£&quot;* #,##0_-;\-&quot;£&quot;* #,##0_-;_-&quot;£&quot;* &quot;-&quot;_-;_-@_-"/>
    <numFmt numFmtId="211" formatCode="0.0000"/>
    <numFmt numFmtId="212" formatCode="#,##0\ &quot;$&quot;_);[Red]\(#,##0\ &quot;$&quot;\)"/>
    <numFmt numFmtId="213" formatCode="&quot;$&quot;###,0&quot;.&quot;00_);[Red]\(&quot;$&quot;###,0&quot;.&quot;00\)"/>
    <numFmt numFmtId="214" formatCode="&quot;\&quot;#,##0;[Red]\-&quot;\&quot;#,##0"/>
    <numFmt numFmtId="215" formatCode="&quot;\&quot;#,##0.00;\-&quot;\&quot;#,##0.00"/>
    <numFmt numFmtId="216" formatCode="&quot;VND&quot;#,##0_);[Red]\(&quot;VND&quot;#,##0\)"/>
    <numFmt numFmtId="217" formatCode="_-* #,##0.00\ _ã_ð_í_._-;\-* #,##0.00\ _ã_ð_í_._-;_-* &quot;-&quot;??\ _ã_ð_í_._-;_-@_-"/>
    <numFmt numFmtId="218" formatCode="#,##0.000_);\(#,##0.000\)"/>
    <numFmt numFmtId="219" formatCode="#"/>
    <numFmt numFmtId="220" formatCode="&quot;¡Ì&quot;#,##0;[Red]\-&quot;¡Ì&quot;#,##0"/>
    <numFmt numFmtId="221" formatCode="#,##0.00\ &quot;F&quot;;[Red]\-#,##0.00\ &quot;F&quot;"/>
    <numFmt numFmtId="222" formatCode="_(* #.##0.00_);_(* \(#.##0.00\);_(* &quot;-&quot;??_);_(@_)"/>
    <numFmt numFmtId="223" formatCode="#,##0.00\ \ \ \ "/>
    <numFmt numFmtId="224" formatCode="_ * #.##._ ;_ * \-#.##._ ;_ * &quot;-&quot;??_ ;_ @_ⴆ"/>
    <numFmt numFmtId="225" formatCode="#,##0\ &quot;F&quot;;[Red]\-#,##0\ &quot;F&quot;"/>
    <numFmt numFmtId="226" formatCode="_-* ###,0&quot;.&quot;00_-;\-* ###,0&quot;.&quot;00_-;_-* &quot;-&quot;??_-;_-@_-"/>
    <numFmt numFmtId="227" formatCode="_-* #,##0\ _F_-;\-* #,##0\ _F_-;_-* &quot;-&quot;??\ _F_-;_-@_-"/>
    <numFmt numFmtId="228" formatCode="0.000\ "/>
    <numFmt numFmtId="229" formatCode="#,##0\ &quot;Lt&quot;;[Red]\-#,##0\ &quot;Lt&quot;"/>
    <numFmt numFmtId="230" formatCode="#,##0.00\ &quot;F&quot;;\-#,##0.00\ &quot;F&quot;"/>
    <numFmt numFmtId="231" formatCode="#,##0&quot;$&quot;;[Red]\-#,##0&quot;$&quot;"/>
    <numFmt numFmtId="232" formatCode="#,##0_ ;\-#,##0\ "/>
    <numFmt numFmtId="233" formatCode="#.##00"/>
    <numFmt numFmtId="234" formatCode="_ * #,##0_)\ &quot;$&quot;_ ;_ * \(#,##0\)\ &quot;$&quot;_ ;_ * &quot;-&quot;_)\ &quot;$&quot;_ ;_ @_ "/>
    <numFmt numFmtId="235" formatCode="_-* #,##0\ &quot;€&quot;_-;\-* #,##0\ &quot;€&quot;_-;_-* &quot;-&quot;\ &quot;€&quot;_-;_-@_-"/>
    <numFmt numFmtId="236" formatCode="_-* #,##0\ &quot;$&quot;_-;\-* #,##0\ &quot;$&quot;_-;_-* &quot;-&quot;\ &quot;$&quot;_-;_-@_-"/>
    <numFmt numFmtId="237" formatCode="_ * #,##0_)&quot;$&quot;_ ;_ * \(#,##0\)&quot;$&quot;_ ;_ * &quot;-&quot;_)&quot;$&quot;_ ;_ @_ "/>
    <numFmt numFmtId="238" formatCode="_-&quot;€&quot;* #,##0_-;\-&quot;€&quot;* #,##0_-;_-&quot;€&quot;* &quot;-&quot;_-;_-@_-"/>
    <numFmt numFmtId="239" formatCode="_-&quot;ñ&quot;* #,##0_-;\-&quot;ñ&quot;* #,##0_-;_-&quot;ñ&quot;* &quot;-&quot;_-;_-@_-"/>
    <numFmt numFmtId="240" formatCode="_ * #,##0.00_)\ _$_ ;_ * \(#,##0.00\)\ _$_ ;_ * &quot;-&quot;??_)\ _$_ ;_ @_ "/>
    <numFmt numFmtId="241" formatCode="_ * #,##0.00_)_$_ ;_ * \(#,##0.00\)_$_ ;_ * &quot;-&quot;??_)_$_ ;_ @_ "/>
    <numFmt numFmtId="242" formatCode="_-* #,##0.00\ _ñ_-;\-* #,##0.00\ _ñ_-;_-* &quot;-&quot;??\ _ñ_-;_-@_-"/>
    <numFmt numFmtId="243" formatCode="_-* #,##0.00\ _ñ_-;_-* #,##0.00\ _ñ\-;_-* &quot;-&quot;??\ _ñ_-;_-@_-"/>
    <numFmt numFmtId="244" formatCode="_-* #,##0.00000000_-;\-* #,##0.00000000_-;_-* &quot;-&quot;??_-;_-@_-"/>
    <numFmt numFmtId="245" formatCode="_(&quot;€&quot;\ * #,##0_);_(&quot;€&quot;\ * \(#,##0\);_(&quot;€&quot;\ * &quot;-&quot;_);_(@_)"/>
    <numFmt numFmtId="246" formatCode="_-* #,##0\ &quot;ñ&quot;_-;\-* #,##0\ &quot;ñ&quot;_-;_-* &quot;-&quot;\ &quot;ñ&quot;_-;_-@_-"/>
    <numFmt numFmtId="247" formatCode="_-* #,##0\ _€_-;\-* #,##0\ _€_-;_-* &quot;-&quot;\ _€_-;_-@_-"/>
    <numFmt numFmtId="248" formatCode="_-* #,##0\ _V_N_D_-;\-* #,##0\ _V_N_D_-;_-* &quot;-&quot;\ _V_N_D_-;_-@_-"/>
    <numFmt numFmtId="249" formatCode="_ * #,##0_)\ _$_ ;_ * \(#,##0\)\ _$_ ;_ * &quot;-&quot;_)\ _$_ ;_ @_ "/>
    <numFmt numFmtId="250" formatCode="_ * #,##0_)_$_ ;_ * \(#,##0\)_$_ ;_ * &quot;-&quot;_)_$_ ;_ @_ "/>
    <numFmt numFmtId="251" formatCode="_-* #,##0\ _$_-;\-* #,##0\ _$_-;_-* &quot;-&quot;\ _$_-;_-@_-"/>
    <numFmt numFmtId="252" formatCode="_-* #,##0\ _ñ_-;\-* #,##0\ _ñ_-;_-* &quot;-&quot;\ _ñ_-;_-@_-"/>
    <numFmt numFmtId="253" formatCode="_-* #,##0\ _ñ_-;_-* #,##0\ _ñ\-;_-* &quot;-&quot;\ _ñ_-;_-@_-"/>
    <numFmt numFmtId="254" formatCode="&quot;\&quot;#,##0.00;[Red]&quot;\&quot;\-#,##0.00"/>
    <numFmt numFmtId="255" formatCode="&quot;\&quot;#,##0;[Red]&quot;\&quot;\-#,##0"/>
    <numFmt numFmtId="256" formatCode="_ &quot;\&quot;* #,##0.00_ ;_ &quot;\&quot;* &quot;\&quot;&quot;\&quot;&quot;\&quot;&quot;\&quot;&quot;\&quot;&quot;\&quot;&quot;\&quot;&quot;\&quot;&quot;\&quot;&quot;\&quot;&quot;\&quot;&quot;\&quot;\-#,##0.00_ ;_ &quot;\&quot;* &quot;-&quot;??_ ;_ @_ "/>
    <numFmt numFmtId="257" formatCode="_ * #,##0.00_ ;_ * &quot;\&quot;&quot;\&quot;&quot;\&quot;&quot;\&quot;&quot;\&quot;&quot;\&quot;&quot;\&quot;&quot;\&quot;&quot;\&quot;&quot;\&quot;&quot;\&quot;&quot;\&quot;\-#,##0.00_ ;_ * &quot;-&quot;??_ ;_ @_ "/>
    <numFmt numFmtId="258" formatCode="&quot;\&quot;#,##0;&quot;\&quot;&quot;\&quot;&quot;\&quot;&quot;\&quot;&quot;\&quot;&quot;\&quot;&quot;\&quot;&quot;\&quot;&quot;\&quot;&quot;\&quot;&quot;\&quot;&quot;\&quot;&quot;\&quot;&quot;\&quot;\-#,##0"/>
    <numFmt numFmtId="259" formatCode="&quot;\&quot;#,##0;[Red]&quot;\&quot;&quot;\&quot;&quot;\&quot;&quot;\&quot;&quot;\&quot;&quot;\&quot;&quot;\&quot;&quot;\&quot;&quot;\&quot;&quot;\&quot;&quot;\&quot;&quot;\&quot;&quot;\&quot;&quot;\&quot;\-#,##0"/>
    <numFmt numFmtId="260" formatCode="_ * #,##0_ ;_ * &quot;\&quot;&quot;\&quot;&quot;\&quot;&quot;\&quot;&quot;\&quot;&quot;\&quot;&quot;\&quot;&quot;\&quot;&quot;\&quot;&quot;\&quot;&quot;\&quot;&quot;\&quot;\-#,##0_ ;_ * &quot;-&quot;_ ;_ @_ "/>
    <numFmt numFmtId="261" formatCode="&quot;\&quot;#,##0.00;&quot;\&quot;&quot;\&quot;&quot;\&quot;&quot;\&quot;&quot;\&quot;&quot;\&quot;&quot;\&quot;&quot;\&quot;&quot;\&quot;&quot;\&quot;&quot;\&quot;&quot;\&quot;&quot;\&quot;&quot;\&quot;\-#,##0.00"/>
    <numFmt numFmtId="262" formatCode="#,##0_)_%;\(#,##0\)_%;"/>
    <numFmt numFmtId="263" formatCode="_(* #,##0.0_);_(* \(#,##0.0\);_(* &quot;-&quot;??_);_(@_)"/>
    <numFmt numFmtId="264" formatCode="_._.* #,##0.0_)_%;_._.* \(#,##0.0\)_%"/>
    <numFmt numFmtId="265" formatCode="#,##0.0_)_%;\(#,##0.0\)_%;\ \ .0_)_%"/>
    <numFmt numFmtId="266" formatCode="_._.* #,##0.00_)_%;_._.* \(#,##0.00\)_%"/>
    <numFmt numFmtId="267" formatCode="#,##0.00_)_%;\(#,##0.00\)_%;\ \ .00_)_%"/>
    <numFmt numFmtId="268" formatCode="_._.* #,##0.000_)_%;_._.* \(#,##0.000\)_%"/>
    <numFmt numFmtId="269" formatCode="#,##0.000_)_%;\(#,##0.000\)_%;\ \ .000_)_%"/>
    <numFmt numFmtId="270" formatCode="_-* #,##0_-;\-* #,##0_-;_-* &quot;-&quot;??_-;_-@_-"/>
    <numFmt numFmtId="271" formatCode="_(* #,##0.00_);_(* \(#,##0.00\);_(* &quot;-&quot;&quot;?&quot;&quot;?&quot;_);_(@_)"/>
    <numFmt numFmtId="272" formatCode="_-* #,##0\ &quot;þ&quot;_-;\-* #,##0\ &quot;þ&quot;_-;_-* &quot;-&quot;\ &quot;þ&quot;_-;_-@_-"/>
    <numFmt numFmtId="273" formatCode="_-* #,##0.00\ _þ_-;\-* #,##0.00\ _þ_-;_-* &quot;-&quot;??\ _þ_-;_-@_-"/>
    <numFmt numFmtId="274" formatCode="_-* #,##0\ _₫_-;\-* #,##0\ _₫_-;_-* &quot;-&quot;??\ _₫_-;_-@_-"/>
    <numFmt numFmtId="275" formatCode="\t#\ ??/??"/>
    <numFmt numFmtId="276" formatCode="_-* #,##0.00\ _$_-;\-* #,##0.00\ _$_-;_-* &quot;-&quot;??\ _$_-;_-@_-"/>
    <numFmt numFmtId="277" formatCode="_(* #,##0.0_);_(* \(#,##0.0\);_(* &quot;-&quot;?_);_(@_)"/>
    <numFmt numFmtId="278" formatCode="_._.* \(#,##0\)_%;_._.* #,##0_)_%;_._.* 0_)_%;_._.@_)_%"/>
    <numFmt numFmtId="279" formatCode="_._.&quot;€&quot;* \(#,##0\)_%;_._.&quot;€&quot;* #,##0_)_%;_._.&quot;€&quot;* 0_)_%;_._.@_)_%"/>
    <numFmt numFmtId="280" formatCode="* \(#,##0\);* #,##0_);&quot;-&quot;??_);@"/>
    <numFmt numFmtId="281" formatCode="_ * #,##0.00_ ;_ * &quot;\&quot;&quot;\&quot;&quot;\&quot;&quot;\&quot;&quot;\&quot;&quot;\&quot;\-#,##0.00_ ;_ * &quot;-&quot;??_ ;_ @_ "/>
    <numFmt numFmtId="282" formatCode="&quot;€&quot;* #,##0_)_%;&quot;€&quot;* \(#,##0\)_%;&quot;€&quot;* &quot;-&quot;??_)_%;@_)_%"/>
    <numFmt numFmtId="283" formatCode="&quot;$&quot;* #,##0_)_%;&quot;$&quot;* \(#,##0\)_%;&quot;$&quot;* &quot;-&quot;??_)_%;@_)_%"/>
    <numFmt numFmtId="284" formatCode="&quot;\&quot;#,##0.00;&quot;\&quot;&quot;\&quot;&quot;\&quot;&quot;\&quot;&quot;\&quot;&quot;\&quot;&quot;\&quot;&quot;\&quot;\-#,##0.00"/>
    <numFmt numFmtId="285" formatCode="_._.&quot;€&quot;* #,##0.0_)_%;_._.&quot;€&quot;* \(#,##0.0\)_%"/>
    <numFmt numFmtId="286" formatCode="&quot;€&quot;* #,##0.0_)_%;&quot;€&quot;* \(#,##0.0\)_%;&quot;€&quot;* \ .0_)_%"/>
    <numFmt numFmtId="287" formatCode="_._.&quot;€&quot;* #,##0.00_)_%;_._.&quot;€&quot;* \(#,##0.00\)_%"/>
    <numFmt numFmtId="288" formatCode="&quot;€&quot;* #,##0.00_)_%;&quot;€&quot;* \(#,##0.00\)_%;&quot;€&quot;* \ .00_)_%"/>
    <numFmt numFmtId="289" formatCode="_._.&quot;€&quot;* #,##0.000_)_%;_._.&quot;€&quot;* \(#,##0.000\)_%"/>
    <numFmt numFmtId="290" formatCode="&quot;€&quot;* #,##0.000_)_%;&quot;€&quot;* \(#,##0.000\)_%;&quot;€&quot;* \ .000_)_%"/>
    <numFmt numFmtId="291" formatCode="_-* #,##0.00\ &quot;€&quot;_-;\-* #,##0.00\ &quot;€&quot;_-;_-* &quot;-&quot;??\ &quot;€&quot;_-;_-@_-"/>
    <numFmt numFmtId="292" formatCode="_ * #,##0_ ;_ * &quot;\&quot;&quot;\&quot;&quot;\&quot;&quot;\&quot;&quot;\&quot;&quot;\&quot;\-#,##0_ ;_ * &quot;-&quot;_ ;_ @_ "/>
    <numFmt numFmtId="293" formatCode="&quot;$&quot;#,##0\ ;\(&quot;$&quot;#,##0\)"/>
    <numFmt numFmtId="294" formatCode="\t0.00%"/>
    <numFmt numFmtId="295" formatCode="* #,##0_);* \(#,##0\);&quot;-&quot;??_);@"/>
    <numFmt numFmtId="296" formatCode="\U\S\$#,##0.00;\(\U\S\$#,##0.00\)"/>
    <numFmt numFmtId="297" formatCode="_(\§\g\ #,##0_);_(\§\g\ \(#,##0\);_(\§\g\ &quot;-&quot;??_);_(@_)"/>
    <numFmt numFmtId="298" formatCode="_(\§\g\ #,##0_);_(\§\g\ \(#,##0\);_(\§\g\ &quot;-&quot;_);_(@_)"/>
    <numFmt numFmtId="299" formatCode="\§\g#,##0_);\(\§\g#,##0\)"/>
    <numFmt numFmtId="300" formatCode="_-&quot;VND&quot;* #,##0_-;\-&quot;VND&quot;* #,##0_-;_-&quot;VND&quot;* &quot;-&quot;_-;_-@_-"/>
    <numFmt numFmtId="301" formatCode="_(&quot;Rp&quot;* #,##0.00_);_(&quot;Rp&quot;* \(#,##0.00\);_(&quot;Rp&quot;* &quot;-&quot;??_);_(@_)"/>
    <numFmt numFmtId="302" formatCode="#,##0.00\ &quot;FB&quot;;[Red]\-#,##0.00\ &quot;FB&quot;"/>
    <numFmt numFmtId="303" formatCode="#,##0\ &quot;$&quot;;\-#,##0\ &quot;$&quot;"/>
    <numFmt numFmtId="304" formatCode="&quot;$&quot;#,##0;\-&quot;$&quot;#,##0"/>
    <numFmt numFmtId="305" formatCode="_-* #,##0\ _F_B_-;\-* #,##0\ _F_B_-;_-* &quot;-&quot;\ _F_B_-;_-@_-"/>
    <numFmt numFmtId="306" formatCode="_-[$€]* #,##0.00_-;\-[$€]* #,##0.00_-;_-[$€]* &quot;-&quot;??_-;_-@_-"/>
    <numFmt numFmtId="307" formatCode="_ * #,##0.00_)_d_ ;_ * \(#,##0.00\)_d_ ;_ * &quot;-&quot;??_)_d_ ;_ @_ "/>
    <numFmt numFmtId="308" formatCode="#,##0_);\-#,##0_)"/>
    <numFmt numFmtId="309" formatCode="#,###;\-#,###;&quot;&quot;;_(@_)"/>
    <numFmt numFmtId="310" formatCode="&quot;€&quot;#,##0;\-&quot;€&quot;#,##0"/>
    <numFmt numFmtId="311" formatCode="#,##0\ &quot;$&quot;_);\(#,##0\ &quot;$&quot;\)"/>
    <numFmt numFmtId="312" formatCode="#,##0.00_);\-#,##0.00_)"/>
    <numFmt numFmtId="313" formatCode="0_)%;\(0\)%"/>
    <numFmt numFmtId="314" formatCode="_._._(* 0_)%;_._.* \(0\)%"/>
    <numFmt numFmtId="315" formatCode="_(0_)%;\(0\)%"/>
    <numFmt numFmtId="316" formatCode="0%_);\(0%\)"/>
    <numFmt numFmtId="317" formatCode="_ &quot;\&quot;* #,##0_ ;_ &quot;\&quot;* &quot;\&quot;&quot;\&quot;&quot;\&quot;&quot;\&quot;&quot;\&quot;&quot;\&quot;&quot;\&quot;&quot;\&quot;&quot;\&quot;&quot;\&quot;&quot;\&quot;&quot;\&quot;&quot;\&quot;&quot;\&quot;\-#,##0_ ;_ &quot;\&quot;* &quot;-&quot;_ ;_ @_ "/>
    <numFmt numFmtId="318" formatCode="_(0.0_)%;\(0.0\)%"/>
    <numFmt numFmtId="319" formatCode="_._._(* 0.0_)%;_._.* \(0.0\)%"/>
    <numFmt numFmtId="320" formatCode="_(0.00_)%;\(0.00\)%"/>
    <numFmt numFmtId="321" formatCode="_._._(* 0.00_)%;_._.* \(0.00\)%"/>
    <numFmt numFmtId="322" formatCode="_(0.000_)%;\(0.000\)%"/>
    <numFmt numFmtId="323" formatCode="_._._(* 0.000_)%;_._.* \(0.000\)%"/>
    <numFmt numFmtId="324" formatCode="&quot;£&quot;#,##0;[Red]\-&quot;£&quot;#,##0"/>
    <numFmt numFmtId="325" formatCode="#,##0.00\ \ "/>
    <numFmt numFmtId="326" formatCode="_-* ###,0&quot;.&quot;00\ _F_B_-;\-* ###,0&quot;.&quot;00\ _F_B_-;_-* &quot;-&quot;??\ _F_B_-;_-@_-"/>
    <numFmt numFmtId="327" formatCode="_ * #,##0_ ;_ * \-#,##0_ ;_ * &quot;-&quot;??_ ;_ @_ "/>
    <numFmt numFmtId="328" formatCode="0.00000"/>
    <numFmt numFmtId="329" formatCode="0.00000000000E+00;\?"/>
    <numFmt numFmtId="330" formatCode="&quot;$&quot;#,##0;[Red]\-&quot;$&quot;#,##0"/>
    <numFmt numFmtId="331" formatCode="&quot;\&quot;#,##0.00;[Red]&quot;\&quot;&quot;\&quot;&quot;\&quot;&quot;\&quot;&quot;\&quot;&quot;\&quot;&quot;\&quot;&quot;\&quot;&quot;\&quot;&quot;\&quot;&quot;\&quot;&quot;\&quot;&quot;\&quot;&quot;\&quot;\-#,##0.00"/>
    <numFmt numFmtId="332" formatCode="_ &quot;\&quot;* #,##0_ ;_ &quot;\&quot;* &quot;\&quot;&quot;\&quot;&quot;\&quot;&quot;\&quot;&quot;\&quot;&quot;\&quot;&quot;\&quot;&quot;\&quot;&quot;\&quot;&quot;\&quot;&quot;\&quot;&quot;\&quot;&quot;\&quot;\-#,##0_ ;_ &quot;\&quot;* &quot;-&quot;_ ;_ @_ "/>
    <numFmt numFmtId="333" formatCode="&quot;€&quot;#,##0;[Red]\-&quot;€&quot;#,##0"/>
    <numFmt numFmtId="334" formatCode="_-* #,##0\ &quot;DM&quot;_-;\-* #,##0\ &quot;DM&quot;_-;_-* &quot;-&quot;\ &quot;DM&quot;_-;_-@_-"/>
    <numFmt numFmtId="335" formatCode="_-* #,##0.00\ &quot;DM&quot;_-;\-* #,##0.00\ &quot;DM&quot;_-;_-* &quot;-&quot;??\ &quot;DM&quot;_-;_-@_-"/>
    <numFmt numFmtId="336" formatCode="##.##%"/>
    <numFmt numFmtId="337" formatCode="_-\$* #,##0.00_-;&quot;-$&quot;* #,##0.00_-;_-\$* \-??_-;_-@_-"/>
    <numFmt numFmtId="338" formatCode="_(* #,##0_);_(* \(#,##0\);_(* \-_);_(@_)"/>
    <numFmt numFmtId="339" formatCode="_-\$* #,##0_-;&quot;-$&quot;* #,##0_-;_-\$* \-_-;_-@_-"/>
    <numFmt numFmtId="340" formatCode="#,###\ ;\(#,###\)"/>
    <numFmt numFmtId="341" formatCode="#,###&quot;  &quot;;\(#,###&quot;) &quot;"/>
    <numFmt numFmtId="342" formatCode="_(\$* #,##0_);_(\$* \(#,##0\);_(\$* \-_);_(@_)"/>
    <numFmt numFmtId="343" formatCode="_-* #,##0\ _F_-;\-* #,##0\ _F_-;_-* &quot;- &quot;_F_-;_-@_-"/>
    <numFmt numFmtId="344" formatCode="_ * #,##0_)&quot; $&quot;_ ;_ * \(#,##0&quot;) $&quot;_ ;_ * \-_)&quot; $&quot;_ ;_ @_ "/>
    <numFmt numFmtId="345" formatCode="_-* #,##0\$_-;\-* #,##0\$_-;_-* &quot;-$&quot;_-;_-@_-"/>
    <numFmt numFmtId="346" formatCode="_-* #,##0.00_-;\-* #,##0.00_-;_-* \-??_-;_-@_-"/>
    <numFmt numFmtId="347" formatCode="_-* ###,0\.00_-;\-* ###,0\.00_-;_-* \-??_-;_-@_-"/>
    <numFmt numFmtId="348" formatCode="_ * #,##0.00_)\ _$_ ;_ * \(#,##0.00&quot;) &quot;_$_ ;_ * \-??_)\ _$_ ;_ @_ "/>
    <numFmt numFmtId="349" formatCode="_-* #,##0.00_$_-;\-* #,##0.00_$_-;_-* \-??_$_-;_-@_-"/>
    <numFmt numFmtId="350" formatCode="_-* #,##0.00\ _F_-;\-* #,##0.00\ _F_-;_-* \-??\ _F_-;_-@_-"/>
    <numFmt numFmtId="351" formatCode="_(* ###,0\.00_);_(* \(###,0\.00\);_(* \-??_);_(@_)"/>
    <numFmt numFmtId="352" formatCode="_-* #,##0_-;\-* #,##0_-;_-* \-_-;_-@_-"/>
    <numFmt numFmtId="353" formatCode="_-* #,##0&quot; F&quot;_-;\-* #,##0&quot; F&quot;_-;_-* &quot;- F&quot;_-;_-@_-"/>
    <numFmt numFmtId="354" formatCode="_(&quot;$ &quot;* #,##0_);_(&quot;$ &quot;* \(#,##0\);_(&quot;$ &quot;* \-_);_(@_)"/>
    <numFmt numFmtId="355" formatCode="_ * #,##0_)\ _$_ ;_ * \(#,##0&quot;) &quot;_$_ ;_ * \-_)\ _$_ ;_ @_ "/>
    <numFmt numFmtId="356" formatCode="_-* #,##0_$_-;\-* #,##0_$_-;_-* \-_$_-;_-@_-"/>
    <numFmt numFmtId="357" formatCode="_ \\* #,##0_ ;_ \\* \-#,##0_ ;_ \\* \-_ ;_ @_ "/>
    <numFmt numFmtId="358" formatCode="_ * #,##0_ ;_ * \-#,##0_ ;_ * \-_ ;_ @_ "/>
    <numFmt numFmtId="359" formatCode="_ * #,##0.00_ ;_ * \-#,##0.00_ ;_ * \-??_ ;_ @_ "/>
    <numFmt numFmtId="360" formatCode="##,###.##"/>
    <numFmt numFmtId="361" formatCode="##,##0%"/>
    <numFmt numFmtId="362" formatCode="#,###%"/>
    <numFmt numFmtId="363" formatCode="##.##"/>
    <numFmt numFmtId="364" formatCode="_(* #,##0.000_);_(* \(#,##0.000\);_(* &quot;-&quot;_);_(@_)"/>
  </numFmts>
  <fonts count="230">
    <font>
      <sz val="10"/>
      <name val="Arial"/>
      <family val="2"/>
    </font>
    <font>
      <sz val="13"/>
      <color theme="1"/>
      <name val="Calibri"/>
      <family val="2"/>
      <charset val="163"/>
      <scheme val="minor"/>
    </font>
    <font>
      <sz val="13"/>
      <color theme="1"/>
      <name val="Calibri"/>
      <family val="2"/>
      <charset val="163"/>
      <scheme val="minor"/>
    </font>
    <font>
      <sz val="13"/>
      <color theme="1"/>
      <name val="Calibri"/>
      <family val="2"/>
      <charset val="163"/>
      <scheme val="minor"/>
    </font>
    <font>
      <sz val="10"/>
      <name val="Arial"/>
      <family val="2"/>
      <charset val="163"/>
    </font>
    <font>
      <sz val="10"/>
      <name val="Arial"/>
      <family val="2"/>
    </font>
    <font>
      <sz val="11"/>
      <color indexed="8"/>
      <name val="Calibri"/>
      <family val="2"/>
    </font>
    <font>
      <sz val="13"/>
      <name val="Times New Roman"/>
      <family val="1"/>
    </font>
    <font>
      <sz val="10"/>
      <name val="굴림체"/>
      <family val="2"/>
      <charset val="129"/>
    </font>
    <font>
      <b/>
      <sz val="9"/>
      <color indexed="81"/>
      <name val="Tahoma"/>
      <family val="2"/>
      <charset val="163"/>
    </font>
    <font>
      <sz val="9"/>
      <color indexed="81"/>
      <name val="Tahoma"/>
      <family val="2"/>
      <charset val="163"/>
    </font>
    <font>
      <sz val="14"/>
      <color indexed="81"/>
      <name val="Tahoma"/>
      <family val="2"/>
      <charset val="163"/>
    </font>
    <font>
      <sz val="11"/>
      <color theme="1"/>
      <name val="Calibri"/>
      <family val="2"/>
      <scheme val="minor"/>
    </font>
    <font>
      <sz val="12"/>
      <name val=".VnTime"/>
      <family val="2"/>
    </font>
    <font>
      <sz val="13"/>
      <color rgb="FF006100"/>
      <name val="Times New Roman"/>
      <family val="2"/>
    </font>
    <font>
      <sz val="13"/>
      <color theme="1"/>
      <name val="Times New Roman"/>
      <family val="2"/>
    </font>
    <font>
      <sz val="12"/>
      <color theme="1"/>
      <name val="Times New Roman"/>
      <family val="2"/>
    </font>
    <font>
      <sz val="11"/>
      <color indexed="8"/>
      <name val="Helvetica Neue"/>
      <family val="2"/>
    </font>
    <font>
      <sz val="11"/>
      <color indexed="8"/>
      <name val="Helvetica Neue"/>
      <family val="2"/>
    </font>
    <font>
      <sz val="10"/>
      <name val="MS Sans Serif"/>
      <family val="2"/>
    </font>
    <font>
      <b/>
      <i/>
      <sz val="16"/>
      <name val="Times New Roman"/>
      <family val="1"/>
      <charset val="163"/>
    </font>
    <font>
      <sz val="13"/>
      <name val="Times New Roman"/>
      <family val="1"/>
      <charset val="163"/>
    </font>
    <font>
      <b/>
      <sz val="24"/>
      <name val="Times New Roman"/>
      <family val="1"/>
      <charset val="163"/>
    </font>
    <font>
      <i/>
      <sz val="16"/>
      <name val="Times New Roman"/>
      <family val="1"/>
      <charset val="163"/>
    </font>
    <font>
      <i/>
      <sz val="13"/>
      <name val="Times New Roman"/>
      <family val="1"/>
      <charset val="163"/>
    </font>
    <font>
      <b/>
      <sz val="13"/>
      <name val="Times New Roman"/>
      <family val="1"/>
      <charset val="163"/>
    </font>
    <font>
      <b/>
      <sz val="14"/>
      <name val="Times New Roman"/>
      <family val="1"/>
      <charset val="163"/>
    </font>
    <font>
      <sz val="15"/>
      <name val="Times New Roman"/>
      <family val="1"/>
      <charset val="163"/>
    </font>
    <font>
      <b/>
      <sz val="15"/>
      <name val="Times New Roman"/>
      <family val="1"/>
      <charset val="163"/>
    </font>
    <font>
      <b/>
      <i/>
      <sz val="13"/>
      <name val="Times New Roman"/>
      <family val="1"/>
      <charset val="163"/>
    </font>
    <font>
      <vertAlign val="superscript"/>
      <sz val="13"/>
      <name val="Times New Roman"/>
      <family val="1"/>
      <charset val="163"/>
    </font>
    <font>
      <sz val="10"/>
      <name val="Arial"/>
      <family val="2"/>
      <charset val="163"/>
    </font>
    <font>
      <sz val="8"/>
      <name val="Arial"/>
      <family val="2"/>
    </font>
    <font>
      <sz val="10"/>
      <name val="Times New Roman"/>
      <family val="1"/>
    </font>
    <font>
      <sz val="12"/>
      <name val="Times New Roman"/>
      <family val="1"/>
      <charset val="163"/>
    </font>
    <font>
      <b/>
      <i/>
      <sz val="14"/>
      <name val="Times New Roman"/>
      <family val="1"/>
      <charset val="163"/>
    </font>
    <font>
      <sz val="11"/>
      <color theme="1"/>
      <name val="Calibri"/>
      <family val="2"/>
      <charset val="163"/>
      <scheme val="minor"/>
    </font>
    <font>
      <b/>
      <sz val="11"/>
      <name val="Times New Roman"/>
      <family val="1"/>
    </font>
    <font>
      <sz val="12"/>
      <name val="Times New Roman"/>
      <family val="1"/>
    </font>
    <font>
      <sz val="11"/>
      <color indexed="8"/>
      <name val="Calibri"/>
      <family val="2"/>
      <charset val="1"/>
    </font>
    <font>
      <sz val="12"/>
      <name val="VNI-Times"/>
    </font>
    <font>
      <sz val="11"/>
      <name val="Calibri"/>
      <family val="2"/>
    </font>
    <font>
      <sz val="12"/>
      <name val="돋움체"/>
      <family val="3"/>
      <charset val="129"/>
    </font>
    <font>
      <sz val="10"/>
      <name val="VNI-Times"/>
    </font>
    <font>
      <sz val="10"/>
      <name val="Helv"/>
      <family val="2"/>
    </font>
    <font>
      <b/>
      <u/>
      <sz val="14"/>
      <color indexed="8"/>
      <name val=".VnBook-AntiquaH"/>
      <family val="2"/>
    </font>
    <font>
      <sz val="12"/>
      <color indexed="10"/>
      <name val=".VnArial Narrow"/>
      <family val="2"/>
    </font>
    <font>
      <i/>
      <sz val="12"/>
      <color indexed="8"/>
      <name val=".VnBook-AntiquaH"/>
      <family val="2"/>
    </font>
    <font>
      <b/>
      <sz val="12"/>
      <color indexed="8"/>
      <name val=".VnBook-Antiqua"/>
      <family val="2"/>
    </font>
    <font>
      <i/>
      <sz val="12"/>
      <color indexed="8"/>
      <name val=".VnBook-Antiqua"/>
      <family val="2"/>
    </font>
    <font>
      <sz val="10"/>
      <name val=".vntime"/>
      <family val="2"/>
    </font>
    <font>
      <sz val="8"/>
      <name val="Times New Roman"/>
      <family val="1"/>
    </font>
    <font>
      <sz val="11"/>
      <name val="돋움"/>
      <family val="2"/>
      <charset val="129"/>
    </font>
    <font>
      <b/>
      <sz val="10"/>
      <name val="Helv"/>
      <family val="2"/>
    </font>
    <font>
      <sz val="10"/>
      <color indexed="8"/>
      <name val="Arial"/>
      <family val="2"/>
    </font>
    <font>
      <b/>
      <sz val="12"/>
      <name val="Helv"/>
      <family val="2"/>
    </font>
    <font>
      <b/>
      <sz val="12"/>
      <name val="Arial"/>
      <family val="2"/>
    </font>
    <font>
      <b/>
      <sz val="1"/>
      <color indexed="8"/>
      <name val="Courier"/>
      <family val="3"/>
    </font>
    <font>
      <u/>
      <sz val="12"/>
      <color indexed="12"/>
      <name val="Arial"/>
      <family val="2"/>
    </font>
    <font>
      <sz val="12"/>
      <name val="Arial"/>
      <family val="2"/>
    </font>
    <font>
      <sz val="10"/>
      <name val="Helv"/>
    </font>
    <font>
      <b/>
      <sz val="11"/>
      <name val="Helv"/>
      <family val="2"/>
    </font>
    <font>
      <sz val="10"/>
      <name val="VNtimes new roman"/>
      <family val="2"/>
    </font>
    <font>
      <sz val="11"/>
      <color theme="1"/>
      <name val="Calibri"/>
      <family val="2"/>
    </font>
    <font>
      <sz val="10"/>
      <name val="Arial"/>
      <family val="2"/>
      <charset val="1"/>
    </font>
    <font>
      <sz val="9"/>
      <name val="Arial"/>
      <family val="2"/>
    </font>
    <font>
      <sz val="12"/>
      <color theme="1"/>
      <name val="Times New Roman"/>
      <family val="2"/>
      <charset val="163"/>
    </font>
    <font>
      <sz val="11"/>
      <name val="–¾’©"/>
      <family val="1"/>
      <charset val="128"/>
    </font>
    <font>
      <b/>
      <sz val="11"/>
      <name val="Arial"/>
      <family val="2"/>
    </font>
    <font>
      <sz val="13"/>
      <name val=".VnTime"/>
      <family val="2"/>
    </font>
    <font>
      <b/>
      <sz val="12"/>
      <color indexed="8"/>
      <name val="Arial"/>
      <family val="2"/>
    </font>
    <font>
      <sz val="12"/>
      <color indexed="8"/>
      <name val="Arial"/>
      <family val="2"/>
    </font>
    <font>
      <i/>
      <sz val="12"/>
      <color indexed="8"/>
      <name val="Arial"/>
      <family val="2"/>
    </font>
    <font>
      <sz val="12"/>
      <color indexed="14"/>
      <name val="Arial"/>
      <family val="2"/>
    </font>
    <font>
      <b/>
      <sz val="12"/>
      <name val="VNI-Times"/>
    </font>
    <font>
      <sz val="10"/>
      <name val=".VnAvant"/>
      <family val="2"/>
    </font>
    <font>
      <sz val="10"/>
      <name val=".VnArial"/>
      <family val="2"/>
    </font>
    <font>
      <sz val="14"/>
      <name val=".VnArial"/>
      <family val="2"/>
    </font>
    <font>
      <sz val="10"/>
      <name val="명조"/>
      <family val="3"/>
      <charset val="129"/>
    </font>
    <font>
      <sz val="11"/>
      <color rgb="FF000000"/>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indexed="8"/>
      <name val="Arial"/>
      <family val="2"/>
    </font>
    <font>
      <sz val="11"/>
      <color indexed="8"/>
      <name val="Arial"/>
      <family val="2"/>
      <charset val="163"/>
    </font>
    <font>
      <sz val="13"/>
      <color indexed="8"/>
      <name val="Times New Roman"/>
      <family val="1"/>
    </font>
    <font>
      <sz val="14"/>
      <name val="Times New Roman"/>
      <family val="1"/>
      <charset val="163"/>
    </font>
    <font>
      <b/>
      <sz val="18"/>
      <name val="Times New Roman"/>
      <family val="1"/>
      <charset val="163"/>
    </font>
    <font>
      <b/>
      <i/>
      <sz val="20"/>
      <name val="Times New Roman"/>
      <family val="1"/>
      <charset val="163"/>
    </font>
    <font>
      <sz val="14"/>
      <name val="Times New Roman"/>
      <family val="1"/>
    </font>
    <font>
      <sz val="13"/>
      <color indexed="10"/>
      <name val="Times New Roman"/>
      <family val="1"/>
    </font>
    <font>
      <b/>
      <sz val="13"/>
      <name val="Times New Roman"/>
      <family val="1"/>
    </font>
    <font>
      <b/>
      <i/>
      <sz val="13"/>
      <name val="Times New Roman"/>
      <family val="1"/>
    </font>
    <font>
      <sz val="13"/>
      <color rgb="FF000000"/>
      <name val="Times New Roman"/>
      <family val="1"/>
    </font>
    <font>
      <sz val="13"/>
      <color rgb="FFFF0000"/>
      <name val="Times New Roman"/>
      <family val="1"/>
    </font>
    <font>
      <b/>
      <sz val="15"/>
      <name val="Times New Roman"/>
      <family val="1"/>
    </font>
    <font>
      <sz val="11"/>
      <color indexed="8"/>
      <name val="Helvetica Neue"/>
      <family val="2"/>
    </font>
    <font>
      <sz val="10"/>
      <name val="Arial"/>
      <family val="2"/>
      <charset val="163"/>
    </font>
    <font>
      <sz val="13"/>
      <color indexed="10"/>
      <name val="Times New Roman"/>
      <family val="1"/>
      <charset val="163"/>
    </font>
    <font>
      <sz val="13"/>
      <color indexed="8"/>
      <name val="Times New Roman"/>
      <family val="1"/>
      <charset val="163"/>
    </font>
    <font>
      <sz val="13"/>
      <color rgb="FF000000"/>
      <name val="Times New Roman"/>
      <family val="1"/>
      <charset val="163"/>
    </font>
    <font>
      <i/>
      <sz val="13"/>
      <name val="Times New Roman"/>
      <family val="1"/>
    </font>
    <font>
      <b/>
      <sz val="14"/>
      <name val="Times New Roman"/>
      <family val="1"/>
    </font>
    <font>
      <b/>
      <sz val="20"/>
      <name val="Times New Roman"/>
      <family val="1"/>
    </font>
    <font>
      <sz val="15"/>
      <name val="Times New Roman"/>
      <family val="1"/>
    </font>
    <font>
      <sz val="11"/>
      <name val="Times New Roman"/>
      <family val="1"/>
    </font>
    <font>
      <b/>
      <i/>
      <sz val="16"/>
      <name val="Times New Roman"/>
      <family val="1"/>
    </font>
    <font>
      <sz val="16"/>
      <name val="Times New Roman"/>
      <family val="1"/>
    </font>
    <font>
      <i/>
      <sz val="16"/>
      <name val="Times New Roman"/>
      <family val="1"/>
    </font>
    <font>
      <sz val="10"/>
      <name val="Arial"/>
      <family val="2"/>
    </font>
    <font>
      <b/>
      <sz val="16"/>
      <name val="Times New Roman"/>
      <family val="1"/>
    </font>
    <font>
      <sz val="10"/>
      <color indexed="8"/>
      <name val="MS Sans Serif"/>
      <family val="2"/>
    </font>
    <font>
      <sz val="12"/>
      <name val="VNtimes new roman"/>
      <family val="2"/>
    </font>
    <font>
      <sz val="12"/>
      <name val=".VnArial"/>
      <family val="2"/>
    </font>
    <font>
      <sz val="10"/>
      <name val="AngsanaUPC"/>
      <family val="1"/>
    </font>
    <font>
      <sz val="10"/>
      <color indexed="8"/>
      <name val="Arial"/>
      <family val="2"/>
      <charset val="163"/>
    </font>
    <font>
      <sz val="12"/>
      <name val="VNI-Helve"/>
    </font>
    <font>
      <sz val="11"/>
      <name val="‚l‚r ‚oƒSƒVƒbƒN"/>
      <family val="3"/>
      <charset val="128"/>
    </font>
    <font>
      <sz val="10"/>
      <name val=".VnArial NarrowH"/>
      <family val="2"/>
    </font>
    <font>
      <sz val="12"/>
      <name val="???"/>
    </font>
    <font>
      <sz val="11"/>
      <name val=".VnTime"/>
      <family val="2"/>
    </font>
    <font>
      <b/>
      <u/>
      <sz val="10"/>
      <name val="VNI-Times"/>
    </font>
    <font>
      <b/>
      <sz val="10"/>
      <name val=".VnArial"/>
      <family val="2"/>
    </font>
    <font>
      <sz val="10"/>
      <name val="VnTimes"/>
    </font>
    <font>
      <sz val="14"/>
      <name val=".VnTimeH"/>
      <family val="2"/>
    </font>
    <font>
      <sz val="14"/>
      <name val=".VnTime"/>
      <family val="2"/>
    </font>
    <font>
      <sz val="12"/>
      <name val="¹ÙÅÁÃ¼"/>
      <family val="1"/>
      <charset val="129"/>
    </font>
    <font>
      <b/>
      <sz val="8"/>
      <name val="Arial"/>
      <family val="2"/>
    </font>
    <font>
      <sz val="12"/>
      <color theme="1"/>
      <name val="Calibri"/>
      <family val="2"/>
      <scheme val="minor"/>
    </font>
    <font>
      <u val="singleAccounting"/>
      <sz val="11"/>
      <name val="Times New Roman"/>
      <family val="1"/>
    </font>
    <font>
      <sz val="11"/>
      <name val="UVnTime"/>
    </font>
    <font>
      <sz val="11"/>
      <color indexed="8"/>
      <name val="Times New Roman"/>
      <family val="2"/>
    </font>
    <font>
      <sz val="14"/>
      <color indexed="8"/>
      <name val="Times New Roman"/>
      <family val="2"/>
    </font>
    <font>
      <b/>
      <sz val="12"/>
      <name val="VNTime"/>
      <family val="2"/>
    </font>
    <font>
      <sz val="11"/>
      <name val="VNtimes new roman"/>
      <family val="2"/>
    </font>
    <font>
      <sz val="11"/>
      <color indexed="12"/>
      <name val="Times New Roman"/>
      <family val="1"/>
    </font>
    <font>
      <sz val="12"/>
      <name val="???"/>
      <family val="3"/>
      <charset val="129"/>
    </font>
    <font>
      <b/>
      <sz val="12"/>
      <name val="VNTimeH"/>
      <family val="2"/>
    </font>
    <font>
      <sz val="10"/>
      <name val="Arial CE"/>
    </font>
    <font>
      <sz val="10"/>
      <name val="Arial CE"/>
      <charset val="238"/>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sz val="12"/>
      <name val="VNTime"/>
      <family val="2"/>
    </font>
    <font>
      <b/>
      <sz val="10"/>
      <name val="Arial"/>
      <family val="2"/>
    </font>
    <font>
      <b/>
      <sz val="10"/>
      <name val=".VnTime"/>
      <family val="2"/>
    </font>
    <font>
      <sz val="12"/>
      <name val="±¼¸²Ã¼"/>
      <family val="3"/>
      <charset val="129"/>
    </font>
    <font>
      <sz val="11"/>
      <color indexed="62"/>
      <name val="Calibri"/>
      <family val="2"/>
      <charset val="163"/>
    </font>
    <font>
      <u/>
      <sz val="10"/>
      <color indexed="12"/>
      <name val=".VnTime"/>
      <family val="2"/>
    </font>
    <font>
      <u/>
      <sz val="12"/>
      <color indexed="12"/>
      <name val=".VnTime"/>
      <family val="2"/>
    </font>
    <font>
      <i/>
      <sz val="10"/>
      <name val=".VnTime"/>
      <family val="2"/>
    </font>
    <font>
      <sz val="7"/>
      <name val="Small Fonts"/>
      <family val="2"/>
    </font>
    <font>
      <b/>
      <i/>
      <sz val="16"/>
      <name val="Helv"/>
    </font>
    <font>
      <sz val="11"/>
      <color theme="1"/>
      <name val="Arial"/>
      <family val="2"/>
    </font>
    <font>
      <sz val="10"/>
      <color indexed="8"/>
      <name val="Times New Roman"/>
      <family val="2"/>
    </font>
    <font>
      <sz val="12"/>
      <color indexed="8"/>
      <name val="Times New Roman"/>
      <family val="2"/>
    </font>
    <font>
      <sz val="13"/>
      <color theme="1"/>
      <name val="Calibri"/>
      <family val="2"/>
      <scheme val="minor"/>
    </font>
    <font>
      <sz val="11"/>
      <name val="VNI-Aptima"/>
    </font>
    <font>
      <sz val="14"/>
      <name val="System"/>
      <family val="2"/>
    </font>
    <font>
      <sz val="14"/>
      <name val=".VnArial Narrow"/>
      <family val="2"/>
    </font>
    <font>
      <sz val="12"/>
      <color indexed="8"/>
      <name val="Times New Roman"/>
      <family val="1"/>
    </font>
    <font>
      <sz val="10"/>
      <name val="VNbook-Antiqua"/>
      <family val="2"/>
    </font>
    <font>
      <sz val="11"/>
      <color indexed="32"/>
      <name val="VNI-Times"/>
    </font>
    <font>
      <sz val="13"/>
      <name val=".VnArial"/>
      <family val="2"/>
    </font>
    <font>
      <b/>
      <sz val="10"/>
      <name val="VNI-Univer"/>
    </font>
    <font>
      <sz val="10"/>
      <name val=".VnBook-Antiqua"/>
      <family val="2"/>
    </font>
    <font>
      <b/>
      <sz val="10"/>
      <color indexed="10"/>
      <name val="Arial"/>
      <family val="2"/>
    </font>
    <font>
      <b/>
      <u val="double"/>
      <sz val="12"/>
      <color indexed="12"/>
      <name val=".VnBahamasB"/>
      <family val="2"/>
    </font>
    <font>
      <b/>
      <i/>
      <u/>
      <sz val="12"/>
      <name val=".VnTimeH"/>
      <family val="2"/>
    </font>
    <font>
      <b/>
      <sz val="10"/>
      <name val=".VnTimeH"/>
      <family val="2"/>
    </font>
    <font>
      <b/>
      <sz val="11"/>
      <name val=".VnTimeH"/>
      <family val="2"/>
    </font>
    <font>
      <sz val="10"/>
      <name val=".VnArial Narrow"/>
      <family val="2"/>
    </font>
    <font>
      <sz val="12"/>
      <name val="VnTime"/>
    </font>
    <font>
      <sz val="10"/>
      <name val="VNtimes new roman"/>
      <family val="1"/>
    </font>
    <font>
      <sz val="14"/>
      <name val="VnTime"/>
    </font>
    <font>
      <sz val="8"/>
      <name val=".VnTime"/>
      <family val="2"/>
    </font>
    <font>
      <b/>
      <sz val="8"/>
      <name val="VN Helvetica"/>
    </font>
    <font>
      <sz val="10"/>
      <name val="VN Helvetica"/>
    </font>
    <font>
      <b/>
      <sz val="10"/>
      <name val="VN AvantGBook"/>
    </font>
    <font>
      <b/>
      <sz val="10"/>
      <name val="VN Helvetica"/>
    </font>
    <font>
      <sz val="10"/>
      <name val="Geneva"/>
      <family val="2"/>
    </font>
    <font>
      <b/>
      <i/>
      <sz val="12"/>
      <name val=".VnTime"/>
      <family val="2"/>
    </font>
    <font>
      <sz val="16"/>
      <name val="AngsanaUPC"/>
      <family val="3"/>
    </font>
    <font>
      <sz val="12"/>
      <color indexed="8"/>
      <name val="바탕체"/>
      <family val="3"/>
    </font>
    <font>
      <sz val="12"/>
      <name val="바탕체"/>
      <family val="1"/>
      <charset val="129"/>
    </font>
    <font>
      <sz val="10"/>
      <name val="돋움체"/>
      <family val="3"/>
      <charset val="129"/>
    </font>
    <font>
      <b/>
      <sz val="13"/>
      <color theme="1"/>
      <name val="Times New Roman"/>
      <family val="1"/>
    </font>
    <font>
      <sz val="13"/>
      <color theme="1"/>
      <name val="Times New Roman"/>
      <family val="1"/>
    </font>
    <font>
      <b/>
      <sz val="12"/>
      <name val="Times New Roman"/>
      <family val="1"/>
    </font>
    <font>
      <b/>
      <sz val="20"/>
      <name val="Times New Roman"/>
      <family val="1"/>
      <charset val="163"/>
    </font>
    <font>
      <sz val="20"/>
      <name val="Times New Roman"/>
      <family val="1"/>
      <charset val="163"/>
    </font>
    <font>
      <b/>
      <sz val="9"/>
      <color indexed="8"/>
      <name val="Tahoma"/>
      <family val="2"/>
      <charset val="163"/>
    </font>
    <font>
      <sz val="9"/>
      <color indexed="8"/>
      <name val="Tahoma"/>
      <family val="2"/>
      <charset val="163"/>
    </font>
    <font>
      <sz val="14"/>
      <color indexed="8"/>
      <name val="Tahoma"/>
      <family val="2"/>
      <charset val="163"/>
    </font>
    <font>
      <b/>
      <sz val="10"/>
      <name val="SVNtimes new roman"/>
      <family val="2"/>
    </font>
    <font>
      <sz val="10"/>
      <name val="QBJ-??10pt"/>
      <family val="3"/>
      <charset val="129"/>
    </font>
    <font>
      <sz val="12"/>
      <color indexed="8"/>
      <name val="???"/>
      <family val="1"/>
      <charset val="129"/>
    </font>
    <font>
      <sz val="11"/>
      <color indexed="9"/>
      <name val="Arial"/>
      <family val="2"/>
    </font>
    <font>
      <sz val="9"/>
      <name val="Arial Narrow"/>
      <family val="2"/>
    </font>
    <font>
      <sz val="8.25"/>
      <name val="Microsoft Sans Serif"/>
      <family val="2"/>
    </font>
    <font>
      <sz val="11"/>
      <color indexed="10"/>
      <name val="Arial"/>
      <family val="2"/>
    </font>
    <font>
      <b/>
      <sz val="8"/>
      <color indexed="12"/>
      <name val="Arial"/>
      <family val="2"/>
    </font>
    <font>
      <sz val="8"/>
      <color indexed="8"/>
      <name val="Arial"/>
      <family val="2"/>
    </font>
    <font>
      <sz val="10"/>
      <name val="BERNHARD"/>
    </font>
    <font>
      <sz val="11"/>
      <name val="VNcentury Gothic"/>
      <family val="2"/>
    </font>
    <font>
      <b/>
      <sz val="15"/>
      <name val="VNcentury Gothic"/>
      <family val="2"/>
    </font>
    <font>
      <b/>
      <u/>
      <sz val="13"/>
      <name val="Times New Roman"/>
      <family val="1"/>
      <charset val="163"/>
    </font>
    <font>
      <u/>
      <sz val="12"/>
      <color indexed="12"/>
      <name val="Times New Roman"/>
      <family val="1"/>
    </font>
    <font>
      <i/>
      <sz val="15"/>
      <name val="Times New Roman"/>
      <family val="1"/>
      <charset val="163"/>
    </font>
    <font>
      <b/>
      <sz val="13"/>
      <color rgb="FFFF0000"/>
      <name val="Times New Roman"/>
      <family val="1"/>
    </font>
    <font>
      <b/>
      <sz val="16"/>
      <name val="Times New Roman"/>
      <family val="1"/>
      <charset val="163"/>
    </font>
    <font>
      <b/>
      <sz val="13"/>
      <color indexed="8"/>
      <name val="Times New Roman"/>
      <family val="1"/>
    </font>
  </fonts>
  <fills count="9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5"/>
      </patternFill>
    </fill>
    <fill>
      <patternFill patternType="solid">
        <fgColor theme="5" tint="0.59999389629810485"/>
        <bgColor indexed="65"/>
      </patternFill>
    </fill>
    <fill>
      <patternFill patternType="solid">
        <fgColor theme="6"/>
      </patternFill>
    </fill>
    <fill>
      <patternFill patternType="solid">
        <fgColor theme="6" tint="0.59999389629810485"/>
        <bgColor indexed="65"/>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59999389629810485"/>
        <bgColor indexed="65"/>
      </patternFill>
    </fill>
    <fill>
      <patternFill patternType="solid">
        <fgColor theme="9"/>
      </patternFill>
    </fill>
    <fill>
      <patternFill patternType="solid">
        <fgColor theme="9" tint="0.59999389629810485"/>
        <bgColor indexed="65"/>
      </patternFill>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5"/>
        <bgColor indexed="64"/>
      </patternFill>
    </fill>
    <fill>
      <patternFill patternType="solid">
        <fgColor indexed="40"/>
        <bgColor indexed="64"/>
      </patternFill>
    </fill>
    <fill>
      <patternFill patternType="solid">
        <fgColor indexed="43"/>
      </patternFill>
    </fill>
    <fill>
      <patternFill patternType="solid">
        <fgColor indexed="26"/>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theme="4" tint="0.79995117038483843"/>
        <bgColor indexed="65"/>
      </patternFill>
    </fill>
    <fill>
      <patternFill patternType="solid">
        <fgColor theme="5" tint="0.79995117038483843"/>
        <bgColor indexed="65"/>
      </patternFill>
    </fill>
    <fill>
      <patternFill patternType="solid">
        <fgColor theme="6" tint="0.79995117038483843"/>
        <bgColor indexed="65"/>
      </patternFill>
    </fill>
    <fill>
      <patternFill patternType="solid">
        <fgColor theme="7" tint="0.79995117038483843"/>
        <bgColor indexed="65"/>
      </patternFill>
    </fill>
    <fill>
      <patternFill patternType="solid">
        <fgColor theme="8" tint="0.79995117038483843"/>
        <bgColor indexed="65"/>
      </patternFill>
    </fill>
    <fill>
      <patternFill patternType="solid">
        <fgColor theme="9" tint="0.79995117038483843"/>
        <bgColor indexed="65"/>
      </patternFill>
    </fill>
    <fill>
      <patternFill patternType="solid">
        <fgColor theme="4" tint="0.39994506668294322"/>
        <bgColor indexed="65"/>
      </patternFill>
    </fill>
    <fill>
      <patternFill patternType="solid">
        <fgColor theme="5" tint="0.39994506668294322"/>
        <bgColor indexed="65"/>
      </patternFill>
    </fill>
    <fill>
      <patternFill patternType="solid">
        <fgColor theme="6" tint="0.39994506668294322"/>
        <bgColor indexed="65"/>
      </patternFill>
    </fill>
    <fill>
      <patternFill patternType="solid">
        <fgColor theme="7" tint="0.39994506668294322"/>
        <bgColor indexed="65"/>
      </patternFill>
    </fill>
    <fill>
      <patternFill patternType="solid">
        <fgColor theme="8" tint="0.39994506668294322"/>
        <bgColor indexed="65"/>
      </patternFill>
    </fill>
    <fill>
      <patternFill patternType="solid">
        <fgColor theme="9" tint="0.39994506668294322"/>
        <bgColor indexed="65"/>
      </patternFill>
    </fill>
    <fill>
      <patternFill patternType="solid">
        <fgColor rgb="FFFFFF00"/>
        <bgColor indexed="64"/>
      </patternFill>
    </fill>
    <fill>
      <patternFill patternType="solid">
        <fgColor indexed="27"/>
        <bgColor indexed="64"/>
      </patternFill>
    </fill>
    <fill>
      <patternFill patternType="solid">
        <fgColor indexed="26"/>
        <bgColor indexed="64"/>
      </patternFill>
    </fill>
    <fill>
      <patternFill patternType="solid">
        <fgColor indexed="22"/>
        <bgColor indexed="31"/>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5"/>
        <bgColor indexed="60"/>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theme="0"/>
        <bgColor indexed="64"/>
      </patternFill>
    </fill>
  </fills>
  <borders count="6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bottom style="medium">
        <color indexed="30"/>
      </bottom>
      <diagonal/>
    </border>
    <border>
      <left/>
      <right/>
      <top/>
      <bottom style="medium">
        <color indexed="64"/>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style="medium">
        <color indexed="0"/>
      </right>
      <top/>
      <bottom/>
      <diagonal/>
    </border>
    <border>
      <left/>
      <right/>
      <top/>
      <bottom style="medium">
        <color theme="4" tint="0.39994506668294322"/>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double">
        <color indexed="64"/>
      </bottom>
      <diagonal/>
    </border>
    <border>
      <left/>
      <right style="double">
        <color indexed="64"/>
      </right>
      <top/>
      <bottom/>
      <diagonal/>
    </border>
    <border>
      <left/>
      <right/>
      <top style="double">
        <color indexed="64"/>
      </top>
      <bottom style="double">
        <color indexed="64"/>
      </bottom>
      <diagonal/>
    </border>
    <border>
      <left style="thick">
        <color indexed="64"/>
      </left>
      <right/>
      <top style="thick">
        <color indexed="64"/>
      </top>
      <bottom/>
      <diagonal/>
    </border>
    <border>
      <left style="hair">
        <color indexed="64"/>
      </left>
      <right/>
      <top/>
      <bottom/>
      <diagonal/>
    </border>
    <border>
      <left/>
      <right style="medium">
        <color indexed="8"/>
      </right>
      <top/>
      <bottom/>
      <diagonal/>
    </border>
    <border>
      <left style="medium">
        <color indexed="9"/>
      </left>
      <right style="medium">
        <color indexed="9"/>
      </right>
      <top style="medium">
        <color indexed="9"/>
      </top>
      <bottom style="medium">
        <color indexed="9"/>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dotted">
        <color indexed="8"/>
      </top>
      <bottom style="dotted">
        <color indexed="8"/>
      </bottom>
      <diagonal/>
    </border>
    <border>
      <left style="thin">
        <color indexed="8"/>
      </left>
      <right style="thin">
        <color indexed="8"/>
      </right>
      <top style="hair">
        <color indexed="8"/>
      </top>
      <bottom style="hair">
        <color indexed="8"/>
      </bottom>
      <diagonal/>
    </border>
    <border>
      <left style="thin">
        <color indexed="8"/>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7009">
    <xf numFmtId="0" fontId="0" fillId="0" borderId="0"/>
    <xf numFmtId="43" fontId="4" fillId="0" borderId="0" applyFont="0" applyFill="0" applyBorder="0" applyAlignment="0" applyProtection="0"/>
    <xf numFmtId="0" fontId="4" fillId="0" borderId="0"/>
    <xf numFmtId="0" fontId="5" fillId="0" borderId="0"/>
    <xf numFmtId="0" fontId="6" fillId="0" borderId="0"/>
    <xf numFmtId="0" fontId="4" fillId="0" borderId="0"/>
    <xf numFmtId="0" fontId="8" fillId="0" borderId="0"/>
    <xf numFmtId="0" fontId="4" fillId="0" borderId="0"/>
    <xf numFmtId="0" fontId="4" fillId="0" borderId="0"/>
    <xf numFmtId="0" fontId="4" fillId="0" borderId="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7" fontId="12" fillId="0" borderId="0" applyFont="0" applyFill="0" applyBorder="0" applyAlignment="0" applyProtection="0"/>
    <xf numFmtId="43" fontId="5" fillId="0" borderId="0" applyFont="0" applyFill="0" applyBorder="0" applyAlignment="0" applyProtection="0"/>
    <xf numFmtId="167" fontId="12" fillId="0" borderId="0" applyFont="0" applyFill="0" applyBorder="0" applyAlignment="0" applyProtection="0"/>
    <xf numFmtId="43" fontId="1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0" fontId="14" fillId="2" borderId="0" applyNumberFormat="0" applyBorder="0" applyAlignment="0" applyProtection="0"/>
    <xf numFmtId="0" fontId="4" fillId="0" borderId="0"/>
    <xf numFmtId="0" fontId="5" fillId="0" borderId="0"/>
    <xf numFmtId="0" fontId="15" fillId="0" borderId="0"/>
    <xf numFmtId="0" fontId="5" fillId="0" borderId="0"/>
    <xf numFmtId="0" fontId="12" fillId="0" borderId="0"/>
    <xf numFmtId="0" fontId="4" fillId="0" borderId="0"/>
    <xf numFmtId="0" fontId="5" fillId="0" borderId="0"/>
    <xf numFmtId="0" fontId="5" fillId="0" borderId="0"/>
    <xf numFmtId="0" fontId="5" fillId="0" borderId="0"/>
    <xf numFmtId="0" fontId="12" fillId="0" borderId="0"/>
    <xf numFmtId="0" fontId="5" fillId="0" borderId="0"/>
    <xf numFmtId="0" fontId="6" fillId="0" borderId="0"/>
    <xf numFmtId="0" fontId="6" fillId="0" borderId="0"/>
    <xf numFmtId="0" fontId="6" fillId="0" borderId="0"/>
    <xf numFmtId="0" fontId="16" fillId="0" borderId="0"/>
    <xf numFmtId="0" fontId="12" fillId="0" borderId="0"/>
    <xf numFmtId="0" fontId="5" fillId="0" borderId="0"/>
    <xf numFmtId="0" fontId="5" fillId="0" borderId="0"/>
    <xf numFmtId="0" fontId="5" fillId="0" borderId="0"/>
    <xf numFmtId="0" fontId="5" fillId="0" borderId="0"/>
    <xf numFmtId="0" fontId="5" fillId="0" borderId="0"/>
    <xf numFmtId="0" fontId="17" fillId="0" borderId="0" applyNumberFormat="0" applyFill="0" applyBorder="0" applyProtection="0">
      <alignment vertical="top"/>
    </xf>
    <xf numFmtId="0" fontId="18" fillId="0" borderId="0" applyNumberFormat="0" applyFill="0" applyBorder="0" applyProtection="0">
      <alignment vertical="top"/>
    </xf>
    <xf numFmtId="0" fontId="17" fillId="0" borderId="0" applyNumberFormat="0" applyFill="0" applyBorder="0" applyProtection="0">
      <alignment vertical="top"/>
    </xf>
    <xf numFmtId="0" fontId="13" fillId="0" borderId="0"/>
    <xf numFmtId="0" fontId="12" fillId="0" borderId="0"/>
    <xf numFmtId="0" fontId="12" fillId="0" borderId="0"/>
    <xf numFmtId="0" fontId="6" fillId="0" borderId="0"/>
    <xf numFmtId="0" fontId="5" fillId="0" borderId="0"/>
    <xf numFmtId="0" fontId="5" fillId="0" borderId="0"/>
    <xf numFmtId="9" fontId="5" fillId="0" borderId="0" applyFont="0" applyFill="0" applyBorder="0" applyAlignment="0" applyProtection="0"/>
    <xf numFmtId="0" fontId="19" fillId="0" borderId="0"/>
    <xf numFmtId="0" fontId="31" fillId="0" borderId="0"/>
    <xf numFmtId="165" fontId="97"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43" fontId="96" fillId="0" borderId="0" applyFont="0" applyFill="0" applyBorder="0" applyAlignment="0" applyProtection="0"/>
    <xf numFmtId="0" fontId="4" fillId="0" borderId="0"/>
    <xf numFmtId="0" fontId="4" fillId="0" borderId="0"/>
    <xf numFmtId="0" fontId="31" fillId="0" borderId="0"/>
    <xf numFmtId="0" fontId="4" fillId="0" borderId="0"/>
    <xf numFmtId="0" fontId="36" fillId="0" borderId="0"/>
    <xf numFmtId="165" fontId="36" fillId="0" borderId="0" applyFont="0" applyFill="0" applyBorder="0" applyAlignment="0" applyProtection="0"/>
    <xf numFmtId="9" fontId="4" fillId="0" borderId="0" applyFont="0" applyFill="0" applyBorder="0" applyAlignment="0" applyProtection="0"/>
    <xf numFmtId="0" fontId="36" fillId="0" borderId="0"/>
    <xf numFmtId="0" fontId="38" fillId="0" borderId="0"/>
    <xf numFmtId="0" fontId="39" fillId="0" borderId="0"/>
    <xf numFmtId="0" fontId="5" fillId="0" borderId="0" applyFill="0" applyBorder="0" applyAlignment="0" applyProtection="0"/>
    <xf numFmtId="0" fontId="12" fillId="0" borderId="0"/>
    <xf numFmtId="172" fontId="40" fillId="0" borderId="0" applyFont="0" applyFill="0" applyBorder="0" applyAlignment="0" applyProtection="0"/>
    <xf numFmtId="0" fontId="41" fillId="0" borderId="0" applyNumberFormat="0" applyFill="0" applyBorder="0" applyAlignment="0" applyProtection="0"/>
    <xf numFmtId="0" fontId="13" fillId="0" borderId="0" applyNumberFormat="0" applyFill="0" applyBorder="0" applyAlignment="0" applyProtection="0"/>
    <xf numFmtId="0" fontId="41" fillId="0" borderId="0" applyNumberFormat="0" applyFill="0" applyBorder="0" applyAlignment="0" applyProtection="0"/>
    <xf numFmtId="3" fontId="41" fillId="0" borderId="2"/>
    <xf numFmtId="3" fontId="42" fillId="0" borderId="2"/>
    <xf numFmtId="3" fontId="41" fillId="0" borderId="2"/>
    <xf numFmtId="3" fontId="41" fillId="0" borderId="2"/>
    <xf numFmtId="169" fontId="41" fillId="0" borderId="18" applyFont="0" applyBorder="0"/>
    <xf numFmtId="169" fontId="41" fillId="0" borderId="18" applyFont="0" applyBorder="0"/>
    <xf numFmtId="0" fontId="41" fillId="0" borderId="0"/>
    <xf numFmtId="0" fontId="41" fillId="0" borderId="0"/>
    <xf numFmtId="173" fontId="5" fillId="0" borderId="0" applyFont="0" applyFill="0" applyBorder="0" applyAlignment="0" applyProtection="0"/>
    <xf numFmtId="174" fontId="5" fillId="0" borderId="0" applyFont="0" applyFill="0" applyBorder="0" applyAlignment="0" applyProtection="0"/>
    <xf numFmtId="175" fontId="13" fillId="0" borderId="0" applyFont="0" applyFill="0" applyBorder="0" applyAlignment="0" applyProtection="0"/>
    <xf numFmtId="174" fontId="5"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3" fontId="5"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0" fontId="5" fillId="0" borderId="0" applyNumberFormat="0" applyFill="0" applyBorder="0" applyAlignment="0" applyProtection="0"/>
    <xf numFmtId="0" fontId="41" fillId="0" borderId="19"/>
    <xf numFmtId="0" fontId="41" fillId="0" borderId="19"/>
    <xf numFmtId="177" fontId="41" fillId="0" borderId="0" applyFont="0" applyFill="0" applyBorder="0" applyAlignment="0" applyProtection="0"/>
    <xf numFmtId="178" fontId="41" fillId="0" borderId="0" applyFont="0" applyFill="0" applyBorder="0" applyAlignment="0" applyProtection="0"/>
    <xf numFmtId="179" fontId="41" fillId="0" borderId="0" applyFont="0" applyFill="0" applyBorder="0" applyAlignment="0" applyProtection="0"/>
    <xf numFmtId="180" fontId="4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41" fillId="0" borderId="0"/>
    <xf numFmtId="0" fontId="5" fillId="0" borderId="0" applyNumberFormat="0" applyFill="0" applyBorder="0" applyAlignment="0" applyProtection="0"/>
    <xf numFmtId="42" fontId="43" fillId="0" borderId="0" applyFont="0" applyFill="0" applyBorder="0" applyAlignment="0" applyProtection="0"/>
    <xf numFmtId="181" fontId="41" fillId="0" borderId="0" applyFont="0" applyFill="0" applyBorder="0" applyAlignment="0" applyProtection="0"/>
    <xf numFmtId="42" fontId="43" fillId="0" borderId="0" applyFon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4" fillId="0" borderId="0"/>
    <xf numFmtId="0" fontId="44" fillId="0" borderId="0"/>
    <xf numFmtId="42" fontId="43" fillId="0" borderId="0" applyFon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4" fillId="0" borderId="0"/>
    <xf numFmtId="0" fontId="44" fillId="0" borderId="0"/>
    <xf numFmtId="0" fontId="44" fillId="0" borderId="0"/>
    <xf numFmtId="0" fontId="41" fillId="0" borderId="0" applyFon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0" fontId="44" fillId="0" borderId="0"/>
    <xf numFmtId="42" fontId="43" fillId="0" borderId="0" applyFont="0" applyFill="0" applyBorder="0" applyAlignment="0" applyProtection="0"/>
    <xf numFmtId="172" fontId="40" fillId="0" borderId="0" applyFont="0" applyFill="0" applyBorder="0" applyAlignment="0" applyProtection="0"/>
    <xf numFmtId="179" fontId="40" fillId="0" borderId="0" applyFont="0" applyFill="0" applyBorder="0" applyAlignment="0" applyProtection="0"/>
    <xf numFmtId="43"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82"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78" fontId="40" fillId="0" borderId="0" applyFont="0" applyFill="0" applyBorder="0" applyAlignment="0" applyProtection="0"/>
    <xf numFmtId="42" fontId="43" fillId="0" borderId="0" applyFont="0" applyFill="0" applyBorder="0" applyAlignment="0" applyProtection="0"/>
    <xf numFmtId="183" fontId="43" fillId="0" borderId="0" applyFont="0" applyFill="0" applyBorder="0" applyAlignment="0" applyProtection="0"/>
    <xf numFmtId="184" fontId="40" fillId="0" borderId="0" applyFont="0" applyFill="0" applyBorder="0" applyAlignment="0" applyProtection="0"/>
    <xf numFmtId="184" fontId="43" fillId="0" borderId="0" applyFont="0" applyFill="0" applyBorder="0" applyAlignment="0" applyProtection="0"/>
    <xf numFmtId="43"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82"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43" fontId="43" fillId="0" borderId="0" applyFont="0" applyFill="0" applyBorder="0" applyAlignment="0" applyProtection="0"/>
    <xf numFmtId="179" fontId="40"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81"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183" fontId="43" fillId="0" borderId="0" applyFont="0" applyFill="0" applyBorder="0" applyAlignment="0" applyProtection="0"/>
    <xf numFmtId="184" fontId="40" fillId="0" borderId="0" applyFont="0" applyFill="0" applyBorder="0" applyAlignment="0" applyProtection="0"/>
    <xf numFmtId="184" fontId="43" fillId="0" borderId="0" applyFont="0" applyFill="0" applyBorder="0" applyAlignment="0" applyProtection="0"/>
    <xf numFmtId="178" fontId="40" fillId="0" borderId="0" applyFont="0" applyFill="0" applyBorder="0" applyAlignment="0" applyProtection="0"/>
    <xf numFmtId="179" fontId="40" fillId="0" borderId="0" applyFont="0" applyFill="0" applyBorder="0" applyAlignment="0" applyProtection="0"/>
    <xf numFmtId="41"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81"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82"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78" fontId="40" fillId="0" borderId="0" applyFont="0" applyFill="0" applyBorder="0" applyAlignment="0" applyProtection="0"/>
    <xf numFmtId="172" fontId="40" fillId="0" borderId="0" applyFont="0" applyFill="0" applyBorder="0" applyAlignment="0" applyProtection="0"/>
    <xf numFmtId="0" fontId="44" fillId="0" borderId="0"/>
    <xf numFmtId="0" fontId="19" fillId="0" borderId="0"/>
    <xf numFmtId="42" fontId="43" fillId="0" borderId="0" applyFon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183" fontId="43" fillId="0" borderId="0" applyFont="0" applyFill="0" applyBorder="0" applyAlignment="0" applyProtection="0"/>
    <xf numFmtId="184" fontId="40" fillId="0" borderId="0" applyFont="0" applyFill="0" applyBorder="0" applyAlignment="0" applyProtection="0"/>
    <xf numFmtId="184"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0" fontId="44" fillId="0" borderId="0"/>
    <xf numFmtId="42" fontId="43" fillId="0" borderId="0" applyFont="0" applyFill="0" applyBorder="0" applyAlignment="0" applyProtection="0"/>
    <xf numFmtId="42" fontId="43" fillId="0" borderId="0" applyFont="0" applyFill="0" applyBorder="0" applyAlignment="0" applyProtection="0"/>
    <xf numFmtId="178" fontId="40" fillId="0" borderId="0" applyFont="0" applyFill="0" applyBorder="0" applyAlignment="0" applyProtection="0"/>
    <xf numFmtId="41"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81"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82"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72" fontId="40" fillId="0" borderId="0" applyFont="0" applyFill="0" applyBorder="0" applyAlignment="0" applyProtection="0"/>
    <xf numFmtId="179" fontId="40" fillId="0" borderId="0" applyFont="0" applyFill="0" applyBorder="0" applyAlignment="0" applyProtection="0"/>
    <xf numFmtId="42" fontId="43" fillId="0" borderId="0" applyFon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4" fillId="0" borderId="0"/>
    <xf numFmtId="185" fontId="41" fillId="0" borderId="0" applyFont="0" applyFill="0" applyBorder="0" applyAlignment="0" applyProtection="0"/>
    <xf numFmtId="185" fontId="41" fillId="0" borderId="0" applyFont="0" applyFill="0" applyBorder="0" applyAlignment="0" applyProtection="0"/>
    <xf numFmtId="186" fontId="5" fillId="0" borderId="0" applyFont="0" applyFill="0" applyBorder="0" applyAlignment="0" applyProtection="0"/>
    <xf numFmtId="187" fontId="5" fillId="0" borderId="0" applyFont="0" applyFill="0" applyBorder="0" applyAlignment="0" applyProtection="0"/>
    <xf numFmtId="0" fontId="41" fillId="0" borderId="0"/>
    <xf numFmtId="0" fontId="41" fillId="0" borderId="0"/>
    <xf numFmtId="0" fontId="41" fillId="0" borderId="0"/>
    <xf numFmtId="0" fontId="33" fillId="0" borderId="0"/>
    <xf numFmtId="1" fontId="41" fillId="0" borderId="2" applyBorder="0" applyAlignment="0">
      <alignment horizontal="center"/>
    </xf>
    <xf numFmtId="1" fontId="41" fillId="0" borderId="2" applyBorder="0" applyAlignment="0">
      <alignment horizontal="center"/>
    </xf>
    <xf numFmtId="3" fontId="41" fillId="0" borderId="2"/>
    <xf numFmtId="3" fontId="42" fillId="0" borderId="2"/>
    <xf numFmtId="3" fontId="41" fillId="0" borderId="2"/>
    <xf numFmtId="3" fontId="41" fillId="0" borderId="2"/>
    <xf numFmtId="2" fontId="41" fillId="21" borderId="4">
      <alignment horizontal="center"/>
    </xf>
    <xf numFmtId="3" fontId="42" fillId="0" borderId="2"/>
    <xf numFmtId="2" fontId="41" fillId="21" borderId="4">
      <alignment horizontal="center"/>
    </xf>
    <xf numFmtId="2" fontId="41" fillId="21" borderId="4">
      <alignment horizontal="center"/>
    </xf>
    <xf numFmtId="185" fontId="41" fillId="0" borderId="0" applyFont="0" applyFill="0" applyBorder="0" applyAlignment="0" applyProtection="0"/>
    <xf numFmtId="0" fontId="45" fillId="22" borderId="0"/>
    <xf numFmtId="185" fontId="41" fillId="0" borderId="0" applyFont="0" applyFill="0" applyBorder="0" applyAlignment="0" applyProtection="0"/>
    <xf numFmtId="185" fontId="41" fillId="0" borderId="0" applyFont="0" applyFill="0" applyBorder="0" applyAlignment="0" applyProtection="0"/>
    <xf numFmtId="0" fontId="41" fillId="22" borderId="0"/>
    <xf numFmtId="0" fontId="41" fillId="22" borderId="0"/>
    <xf numFmtId="0" fontId="41" fillId="22" borderId="0"/>
    <xf numFmtId="0" fontId="41" fillId="22" borderId="0"/>
    <xf numFmtId="0" fontId="41" fillId="22" borderId="0"/>
    <xf numFmtId="0" fontId="41" fillId="22" borderId="0"/>
    <xf numFmtId="0" fontId="41" fillId="22" borderId="0"/>
    <xf numFmtId="0" fontId="41" fillId="22" borderId="0"/>
    <xf numFmtId="0" fontId="41" fillId="22" borderId="0"/>
    <xf numFmtId="0" fontId="41" fillId="22" borderId="0"/>
    <xf numFmtId="0" fontId="41" fillId="22" borderId="0"/>
    <xf numFmtId="0" fontId="41" fillId="22" borderId="0"/>
    <xf numFmtId="0" fontId="41" fillId="22" borderId="0"/>
    <xf numFmtId="0" fontId="41" fillId="22" borderId="0"/>
    <xf numFmtId="0" fontId="41" fillId="0" borderId="0" applyFont="0" applyFill="0" applyBorder="0" applyAlignment="0">
      <alignment horizontal="left"/>
    </xf>
    <xf numFmtId="0" fontId="41" fillId="0" borderId="0" applyFont="0" applyFill="0" applyBorder="0" applyAlignment="0">
      <alignment horizontal="left"/>
    </xf>
    <xf numFmtId="0" fontId="41" fillId="22" borderId="0"/>
    <xf numFmtId="0" fontId="41" fillId="22" borderId="0"/>
    <xf numFmtId="0" fontId="41" fillId="0" borderId="0" applyFont="0" applyFill="0" applyBorder="0" applyAlignment="0">
      <alignment horizontal="left"/>
    </xf>
    <xf numFmtId="0" fontId="41" fillId="0" borderId="0" applyFont="0" applyFill="0" applyBorder="0" applyAlignment="0">
      <alignment horizontal="left"/>
    </xf>
    <xf numFmtId="0" fontId="46" fillId="23" borderId="20" applyFont="0" applyFill="0" applyAlignment="0">
      <alignment vertical="center" wrapText="1"/>
    </xf>
    <xf numFmtId="9" fontId="41" fillId="0" borderId="0" applyBorder="0" applyAlignment="0" applyProtection="0"/>
    <xf numFmtId="0" fontId="41" fillId="22" borderId="0"/>
    <xf numFmtId="0" fontId="47" fillId="22" borderId="0"/>
    <xf numFmtId="0" fontId="41" fillId="22" borderId="0"/>
    <xf numFmtId="0" fontId="41" fillId="22" borderId="0"/>
    <xf numFmtId="0" fontId="41" fillId="22" borderId="0"/>
    <xf numFmtId="0" fontId="41" fillId="22" borderId="0"/>
    <xf numFmtId="0" fontId="41" fillId="22" borderId="0"/>
    <xf numFmtId="0" fontId="41" fillId="22" borderId="0"/>
    <xf numFmtId="0" fontId="41" fillId="22" borderId="0"/>
    <xf numFmtId="0" fontId="41" fillId="22" borderId="0"/>
    <xf numFmtId="0" fontId="41" fillId="22" borderId="0"/>
    <xf numFmtId="0" fontId="41" fillId="22" borderId="0"/>
    <xf numFmtId="0" fontId="41" fillId="22" borderId="0"/>
    <xf numFmtId="0" fontId="41" fillId="22" borderId="0"/>
    <xf numFmtId="0" fontId="41" fillId="22" borderId="0"/>
    <xf numFmtId="0" fontId="41" fillId="22" borderId="0"/>
    <xf numFmtId="0" fontId="41" fillId="22" borderId="0"/>
    <xf numFmtId="0" fontId="41" fillId="22" borderId="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5" fillId="0" borderId="0"/>
    <xf numFmtId="0" fontId="5" fillId="0" borderId="0"/>
    <xf numFmtId="0" fontId="41" fillId="22" borderId="0"/>
    <xf numFmtId="0" fontId="48" fillId="22" borderId="0"/>
    <xf numFmtId="0" fontId="41" fillId="22" borderId="0"/>
    <xf numFmtId="0" fontId="41" fillId="22" borderId="0"/>
    <xf numFmtId="0" fontId="41" fillId="22" borderId="0"/>
    <xf numFmtId="0" fontId="41" fillId="22" borderId="0"/>
    <xf numFmtId="0" fontId="41" fillId="22" borderId="0"/>
    <xf numFmtId="0" fontId="41" fillId="22" borderId="0"/>
    <xf numFmtId="0" fontId="41" fillId="22" borderId="0"/>
    <xf numFmtId="0" fontId="41" fillId="22" borderId="0"/>
    <xf numFmtId="0" fontId="41" fillId="22" borderId="0"/>
    <xf numFmtId="0" fontId="41" fillId="22" borderId="0"/>
    <xf numFmtId="0" fontId="41" fillId="22" borderId="0"/>
    <xf numFmtId="0" fontId="41" fillId="22" borderId="0"/>
    <xf numFmtId="0" fontId="41" fillId="22" borderId="0"/>
    <xf numFmtId="0" fontId="41" fillId="22" borderId="0"/>
    <xf numFmtId="0" fontId="41" fillId="22" borderId="0"/>
    <xf numFmtId="0" fontId="41" fillId="22" borderId="0"/>
    <xf numFmtId="0" fontId="38" fillId="0" borderId="0"/>
    <xf numFmtId="0" fontId="41" fillId="0" borderId="0">
      <alignment wrapText="1"/>
    </xf>
    <xf numFmtId="0" fontId="49" fillId="0" borderId="0">
      <alignment wrapText="1"/>
    </xf>
    <xf numFmtId="0" fontId="41" fillId="0" borderId="0">
      <alignment wrapText="1"/>
    </xf>
    <xf numFmtId="0" fontId="41" fillId="0" borderId="0">
      <alignment wrapText="1"/>
    </xf>
    <xf numFmtId="0" fontId="41" fillId="0" borderId="0">
      <alignment wrapText="1"/>
    </xf>
    <xf numFmtId="0" fontId="41" fillId="0" borderId="0">
      <alignment wrapText="1"/>
    </xf>
    <xf numFmtId="0" fontId="41" fillId="0" borderId="0">
      <alignment wrapText="1"/>
    </xf>
    <xf numFmtId="0" fontId="41" fillId="0" borderId="0">
      <alignment wrapText="1"/>
    </xf>
    <xf numFmtId="0" fontId="41" fillId="0" borderId="0">
      <alignment wrapText="1"/>
    </xf>
    <xf numFmtId="0" fontId="41" fillId="0" borderId="0">
      <alignment wrapText="1"/>
    </xf>
    <xf numFmtId="0" fontId="41" fillId="0" borderId="0">
      <alignment wrapText="1"/>
    </xf>
    <xf numFmtId="0" fontId="41" fillId="0" borderId="0">
      <alignment wrapText="1"/>
    </xf>
    <xf numFmtId="0" fontId="41" fillId="0" borderId="0">
      <alignment wrapText="1"/>
    </xf>
    <xf numFmtId="0" fontId="41" fillId="0" borderId="0">
      <alignment wrapText="1"/>
    </xf>
    <xf numFmtId="0" fontId="41" fillId="0" borderId="0">
      <alignment wrapText="1"/>
    </xf>
    <xf numFmtId="0" fontId="41" fillId="0" borderId="0">
      <alignment wrapText="1"/>
    </xf>
    <xf numFmtId="0" fontId="41" fillId="0" borderId="0">
      <alignment wrapText="1"/>
    </xf>
    <xf numFmtId="0" fontId="41" fillId="0" borderId="0">
      <alignment wrapText="1"/>
    </xf>
    <xf numFmtId="0" fontId="41" fillId="30"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33" borderId="0" applyNumberFormat="0" applyBorder="0" applyAlignment="0" applyProtection="0"/>
    <xf numFmtId="0" fontId="41" fillId="33" borderId="0" applyNumberFormat="0" applyBorder="0" applyAlignment="0" applyProtection="0"/>
    <xf numFmtId="0" fontId="41" fillId="33" borderId="0" applyNumberFormat="0" applyBorder="0" applyAlignment="0" applyProtection="0"/>
    <xf numFmtId="0" fontId="41" fillId="0" borderId="0"/>
    <xf numFmtId="0" fontId="50" fillId="0" borderId="0"/>
    <xf numFmtId="0" fontId="41" fillId="0" borderId="0"/>
    <xf numFmtId="0" fontId="41" fillId="0" borderId="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6"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0" borderId="0"/>
    <xf numFmtId="0" fontId="41" fillId="0" borderId="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6" borderId="0" applyNumberFormat="0" applyBorder="0" applyAlignment="0" applyProtection="0"/>
    <xf numFmtId="0" fontId="41" fillId="36"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0" borderId="0" applyFont="0" applyFill="0" applyBorder="0" applyAlignment="0" applyProtection="0"/>
    <xf numFmtId="188" fontId="40" fillId="0" borderId="0" applyFont="0" applyFill="0" applyBorder="0" applyAlignment="0" applyProtection="0"/>
    <xf numFmtId="189" fontId="5" fillId="0" borderId="0" applyFont="0" applyFill="0" applyBorder="0" applyAlignment="0" applyProtection="0"/>
    <xf numFmtId="0" fontId="41" fillId="0" borderId="0" applyFont="0" applyFill="0" applyBorder="0" applyAlignment="0" applyProtection="0"/>
    <xf numFmtId="189" fontId="5" fillId="0" borderId="0" applyFont="0" applyFill="0" applyBorder="0" applyAlignment="0" applyProtection="0"/>
    <xf numFmtId="0" fontId="51" fillId="0" borderId="0">
      <alignment horizontal="center" wrapText="1"/>
      <protection locked="0"/>
    </xf>
    <xf numFmtId="0" fontId="41" fillId="0" borderId="0" applyNumberFormat="0" applyBorder="0" applyAlignment="0">
      <alignment horizontal="center"/>
    </xf>
    <xf numFmtId="0" fontId="41" fillId="0" borderId="0" applyNumberFormat="0" applyBorder="0" applyAlignment="0">
      <alignment horizontal="center"/>
    </xf>
    <xf numFmtId="0" fontId="41" fillId="0" borderId="0" applyFont="0" applyFill="0" applyBorder="0" applyAlignment="0" applyProtection="0"/>
    <xf numFmtId="191" fontId="41" fillId="0" borderId="0" applyFont="0" applyFill="0" applyBorder="0" applyAlignment="0" applyProtection="0"/>
    <xf numFmtId="0" fontId="41" fillId="0" borderId="0" applyFont="0" applyFill="0" applyBorder="0" applyAlignment="0" applyProtection="0"/>
    <xf numFmtId="172" fontId="40" fillId="0" borderId="0" applyFont="0" applyFill="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xf numFmtId="0" fontId="41" fillId="0" borderId="0"/>
    <xf numFmtId="0" fontId="41" fillId="0" borderId="0"/>
    <xf numFmtId="0" fontId="33" fillId="0" borderId="0"/>
    <xf numFmtId="0" fontId="41" fillId="0" borderId="0"/>
    <xf numFmtId="0" fontId="41" fillId="0" borderId="0"/>
    <xf numFmtId="0" fontId="41" fillId="0" borderId="0"/>
    <xf numFmtId="177" fontId="5" fillId="0" borderId="0" applyFont="0" applyFill="0" applyBorder="0" applyAlignment="0" applyProtection="0"/>
    <xf numFmtId="192" fontId="5" fillId="0" borderId="0" applyFont="0" applyFill="0" applyBorder="0" applyAlignment="0" applyProtection="0"/>
    <xf numFmtId="193" fontId="41" fillId="0" borderId="0" applyFill="0" applyBorder="0" applyAlignment="0"/>
    <xf numFmtId="0" fontId="52" fillId="0" borderId="0" applyFill="0" applyBorder="0" applyAlignment="0"/>
    <xf numFmtId="193" fontId="41" fillId="0" borderId="0" applyFill="0" applyBorder="0" applyAlignment="0"/>
    <xf numFmtId="193" fontId="41" fillId="0" borderId="0" applyFill="0" applyBorder="0" applyAlignment="0"/>
    <xf numFmtId="194" fontId="41" fillId="0" borderId="0" applyFill="0" applyBorder="0" applyAlignment="0"/>
    <xf numFmtId="194" fontId="41" fillId="0" borderId="0" applyFill="0" applyBorder="0" applyAlignment="0"/>
    <xf numFmtId="171" fontId="5" fillId="0" borderId="0" applyFill="0" applyBorder="0" applyAlignment="0"/>
    <xf numFmtId="195" fontId="5" fillId="0" borderId="0" applyFill="0" applyBorder="0" applyAlignment="0"/>
    <xf numFmtId="196" fontId="5" fillId="0" borderId="0" applyFill="0" applyBorder="0" applyAlignment="0"/>
    <xf numFmtId="196" fontId="5" fillId="0" borderId="0" applyFill="0" applyBorder="0" applyAlignment="0"/>
    <xf numFmtId="197" fontId="41" fillId="0" borderId="0" applyFill="0" applyBorder="0" applyAlignment="0"/>
    <xf numFmtId="197" fontId="41" fillId="0" borderId="0" applyFill="0" applyBorder="0" applyAlignment="0"/>
    <xf numFmtId="198" fontId="41" fillId="0" borderId="0" applyFill="0" applyBorder="0" applyAlignment="0"/>
    <xf numFmtId="198" fontId="41" fillId="0" borderId="0" applyFill="0" applyBorder="0" applyAlignment="0"/>
    <xf numFmtId="194" fontId="41" fillId="0" borderId="0" applyFill="0" applyBorder="0" applyAlignment="0"/>
    <xf numFmtId="194" fontId="41" fillId="0" borderId="0" applyFill="0" applyBorder="0" applyAlignment="0"/>
    <xf numFmtId="0" fontId="41" fillId="42" borderId="21" applyNumberFormat="0" applyAlignment="0" applyProtection="0"/>
    <xf numFmtId="0" fontId="41" fillId="42" borderId="21" applyNumberFormat="0" applyAlignment="0" applyProtection="0"/>
    <xf numFmtId="0" fontId="41" fillId="42" borderId="21" applyNumberFormat="0" applyAlignment="0" applyProtection="0"/>
    <xf numFmtId="0" fontId="41" fillId="0" borderId="0"/>
    <xf numFmtId="0" fontId="53" fillId="0" borderId="0"/>
    <xf numFmtId="0" fontId="41" fillId="0" borderId="0"/>
    <xf numFmtId="0" fontId="41" fillId="0" borderId="0"/>
    <xf numFmtId="199" fontId="43" fillId="0" borderId="0" applyFont="0" applyFill="0" applyBorder="0" applyAlignment="0" applyProtection="0"/>
    <xf numFmtId="200" fontId="41" fillId="0" borderId="0"/>
    <xf numFmtId="200" fontId="41" fillId="0" borderId="0"/>
    <xf numFmtId="200" fontId="41" fillId="0" borderId="0"/>
    <xf numFmtId="200" fontId="41" fillId="0" borderId="0"/>
    <xf numFmtId="200" fontId="41" fillId="0" borderId="0"/>
    <xf numFmtId="200" fontId="41" fillId="0" borderId="0"/>
    <xf numFmtId="200" fontId="41" fillId="0" borderId="0"/>
    <xf numFmtId="200" fontId="41" fillId="0" borderId="0"/>
    <xf numFmtId="200" fontId="41" fillId="0" borderId="0"/>
    <xf numFmtId="200" fontId="41" fillId="0" borderId="0"/>
    <xf numFmtId="200" fontId="41" fillId="0" borderId="0"/>
    <xf numFmtId="200" fontId="41" fillId="0" borderId="0"/>
    <xf numFmtId="200" fontId="41" fillId="0" borderId="0"/>
    <xf numFmtId="200" fontId="41" fillId="0" borderId="0"/>
    <xf numFmtId="200" fontId="41" fillId="0" borderId="0"/>
    <xf numFmtId="200" fontId="41" fillId="0" borderId="0"/>
    <xf numFmtId="197" fontId="41" fillId="0" borderId="0" applyFont="0" applyFill="0" applyBorder="0" applyAlignment="0" applyProtection="0"/>
    <xf numFmtId="197" fontId="41"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1" fillId="0" borderId="0" applyFont="0" applyFill="0" applyBorder="0" applyAlignment="0" applyProtection="0"/>
    <xf numFmtId="43" fontId="6" fillId="0" borderId="0" applyFont="0" applyFill="0" applyBorder="0" applyAlignment="0" applyProtection="0"/>
    <xf numFmtId="43" fontId="41" fillId="0" borderId="0" applyFont="0" applyFill="0" applyBorder="0" applyAlignment="0" applyProtection="0"/>
    <xf numFmtId="0" fontId="6"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168" fontId="5" fillId="0" borderId="0" applyFont="0" applyFill="0" applyBorder="0" applyAlignment="0" applyProtection="0"/>
    <xf numFmtId="43" fontId="12"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43" fontId="38"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5" fillId="0" borderId="0" applyFont="0" applyFill="0" applyBorder="0" applyAlignment="0" applyProtection="0"/>
    <xf numFmtId="43" fontId="38"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43" fontId="38" fillId="0" borderId="0" applyFont="0" applyFill="0" applyBorder="0" applyAlignment="0" applyProtection="0"/>
    <xf numFmtId="43" fontId="6" fillId="0" borderId="0" applyFont="0" applyFill="0" applyBorder="0" applyAlignment="0" applyProtection="0"/>
    <xf numFmtId="43" fontId="38" fillId="0" borderId="0" applyFont="0" applyFill="0" applyBorder="0" applyAlignment="0" applyProtection="0"/>
    <xf numFmtId="0" fontId="6"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5"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41" fillId="0" borderId="0"/>
    <xf numFmtId="201" fontId="41" fillId="0" borderId="0"/>
    <xf numFmtId="3" fontId="5" fillId="0" borderId="0" applyFont="0" applyFill="0" applyBorder="0" applyAlignment="0" applyProtection="0"/>
    <xf numFmtId="0" fontId="41" fillId="0" borderId="0" applyNumberFormat="0" applyAlignment="0">
      <alignment horizontal="left"/>
    </xf>
    <xf numFmtId="0" fontId="41" fillId="0" borderId="0" applyNumberFormat="0" applyAlignment="0">
      <alignment horizontal="left"/>
    </xf>
    <xf numFmtId="202" fontId="41" fillId="0" borderId="0" applyFont="0" applyFill="0" applyBorder="0" applyAlignment="0" applyProtection="0"/>
    <xf numFmtId="194" fontId="41" fillId="0" borderId="0" applyFont="0" applyFill="0" applyBorder="0" applyAlignment="0" applyProtection="0"/>
    <xf numFmtId="194" fontId="41" fillId="0" borderId="0" applyFont="0" applyFill="0" applyBorder="0" applyAlignment="0" applyProtection="0"/>
    <xf numFmtId="203" fontId="5" fillId="0" borderId="0" applyFont="0" applyFill="0" applyBorder="0" applyAlignment="0" applyProtection="0"/>
    <xf numFmtId="204" fontId="41" fillId="0" borderId="0"/>
    <xf numFmtId="204" fontId="41" fillId="0" borderId="0"/>
    <xf numFmtId="0" fontId="41" fillId="43" borderId="22" applyNumberFormat="0" applyAlignment="0" applyProtection="0"/>
    <xf numFmtId="0" fontId="41" fillId="43" borderId="22" applyNumberFormat="0" applyAlignment="0" applyProtection="0"/>
    <xf numFmtId="0" fontId="41" fillId="43" borderId="22" applyNumberFormat="0" applyAlignment="0" applyProtection="0"/>
    <xf numFmtId="169" fontId="41" fillId="0" borderId="0" applyFont="0" applyFill="0" applyBorder="0" applyAlignment="0" applyProtection="0"/>
    <xf numFmtId="1" fontId="41" fillId="0" borderId="5" applyBorder="0"/>
    <xf numFmtId="1" fontId="41" fillId="0" borderId="5" applyBorder="0"/>
    <xf numFmtId="0" fontId="5" fillId="0" borderId="0" applyFont="0" applyFill="0" applyBorder="0" applyAlignment="0" applyProtection="0"/>
    <xf numFmtId="14" fontId="54" fillId="0" borderId="0" applyFill="0" applyBorder="0" applyAlignment="0"/>
    <xf numFmtId="205" fontId="41" fillId="0" borderId="0"/>
    <xf numFmtId="205" fontId="41" fillId="0" borderId="0"/>
    <xf numFmtId="178" fontId="41" fillId="0" borderId="0" applyFont="0" applyFill="0" applyBorder="0" applyAlignment="0" applyProtection="0"/>
    <xf numFmtId="179" fontId="41" fillId="0" borderId="0" applyFont="0" applyFill="0" applyBorder="0" applyAlignment="0" applyProtection="0"/>
    <xf numFmtId="178" fontId="41" fillId="0" borderId="0" applyFont="0" applyFill="0" applyBorder="0" applyAlignment="0" applyProtection="0"/>
    <xf numFmtId="41" fontId="41" fillId="0" borderId="0" applyFont="0" applyFill="0" applyBorder="0" applyAlignment="0" applyProtection="0"/>
    <xf numFmtId="178" fontId="41" fillId="0" borderId="0" applyFont="0" applyFill="0" applyBorder="0" applyAlignment="0" applyProtection="0"/>
    <xf numFmtId="41" fontId="41" fillId="0" borderId="0" applyFont="0" applyFill="0" applyBorder="0" applyAlignment="0" applyProtection="0"/>
    <xf numFmtId="178" fontId="41" fillId="0" borderId="0" applyFont="0" applyFill="0" applyBorder="0" applyAlignment="0" applyProtection="0"/>
    <xf numFmtId="41" fontId="41" fillId="0" borderId="0" applyFont="0" applyFill="0" applyBorder="0" applyAlignment="0" applyProtection="0"/>
    <xf numFmtId="178" fontId="41" fillId="0" borderId="0" applyFont="0" applyFill="0" applyBorder="0" applyAlignment="0" applyProtection="0"/>
    <xf numFmtId="41" fontId="41" fillId="0" borderId="0" applyFont="0" applyFill="0" applyBorder="0" applyAlignment="0" applyProtection="0"/>
    <xf numFmtId="178" fontId="41" fillId="0" borderId="0" applyFont="0" applyFill="0" applyBorder="0" applyAlignment="0" applyProtection="0"/>
    <xf numFmtId="41" fontId="41" fillId="0" borderId="0" applyFont="0" applyFill="0" applyBorder="0" applyAlignment="0" applyProtection="0"/>
    <xf numFmtId="178" fontId="41" fillId="0" borderId="0" applyFont="0" applyFill="0" applyBorder="0" applyAlignment="0" applyProtection="0"/>
    <xf numFmtId="41" fontId="41" fillId="0" borderId="0" applyFont="0" applyFill="0" applyBorder="0" applyAlignment="0" applyProtection="0"/>
    <xf numFmtId="178" fontId="41" fillId="0" borderId="0" applyFont="0" applyFill="0" applyBorder="0" applyAlignment="0" applyProtection="0"/>
    <xf numFmtId="41" fontId="41" fillId="0" borderId="0" applyFont="0" applyFill="0" applyBorder="0" applyAlignment="0" applyProtection="0"/>
    <xf numFmtId="178" fontId="41" fillId="0" borderId="0" applyFont="0" applyFill="0" applyBorder="0" applyAlignment="0" applyProtection="0"/>
    <xf numFmtId="41" fontId="41" fillId="0" borderId="0" applyFont="0" applyFill="0" applyBorder="0" applyAlignment="0" applyProtection="0"/>
    <xf numFmtId="178" fontId="41" fillId="0" borderId="0" applyFont="0" applyFill="0" applyBorder="0" applyAlignment="0" applyProtection="0"/>
    <xf numFmtId="41" fontId="41" fillId="0" borderId="0" applyFont="0" applyFill="0" applyBorder="0" applyAlignment="0" applyProtection="0"/>
    <xf numFmtId="178" fontId="41" fillId="0" borderId="0" applyFont="0" applyFill="0" applyBorder="0" applyAlignment="0" applyProtection="0"/>
    <xf numFmtId="41" fontId="41" fillId="0" borderId="0" applyFont="0" applyFill="0" applyBorder="0" applyAlignment="0" applyProtection="0"/>
    <xf numFmtId="178" fontId="41" fillId="0" borderId="0" applyFont="0" applyFill="0" applyBorder="0" applyAlignment="0" applyProtection="0"/>
    <xf numFmtId="41" fontId="41" fillId="0" borderId="0" applyFont="0" applyFill="0" applyBorder="0" applyAlignment="0" applyProtection="0"/>
    <xf numFmtId="178" fontId="41" fillId="0" borderId="0" applyFont="0" applyFill="0" applyBorder="0" applyAlignment="0" applyProtection="0"/>
    <xf numFmtId="41" fontId="41" fillId="0" borderId="0" applyFont="0" applyFill="0" applyBorder="0" applyAlignment="0" applyProtection="0"/>
    <xf numFmtId="178" fontId="41" fillId="0" borderId="0" applyFont="0" applyFill="0" applyBorder="0" applyAlignment="0" applyProtection="0"/>
    <xf numFmtId="41" fontId="41" fillId="0" borderId="0" applyFont="0" applyFill="0" applyBorder="0" applyAlignment="0" applyProtection="0"/>
    <xf numFmtId="178" fontId="41" fillId="0" borderId="0" applyFont="0" applyFill="0" applyBorder="0" applyAlignment="0" applyProtection="0"/>
    <xf numFmtId="41" fontId="41" fillId="0" borderId="0" applyFont="0" applyFill="0" applyBorder="0" applyAlignment="0" applyProtection="0"/>
    <xf numFmtId="178" fontId="41" fillId="0" borderId="0" applyFont="0" applyFill="0" applyBorder="0" applyAlignment="0" applyProtection="0"/>
    <xf numFmtId="41" fontId="41" fillId="0" borderId="0" applyFont="0" applyFill="0" applyBorder="0" applyAlignment="0" applyProtection="0"/>
    <xf numFmtId="178" fontId="41" fillId="0" borderId="0" applyFont="0" applyFill="0" applyBorder="0" applyAlignment="0" applyProtection="0"/>
    <xf numFmtId="41" fontId="41" fillId="0" borderId="0" applyFont="0" applyFill="0" applyBorder="0" applyAlignment="0" applyProtection="0"/>
    <xf numFmtId="178" fontId="41" fillId="0" borderId="0" applyFont="0" applyFill="0" applyBorder="0" applyAlignment="0" applyProtection="0"/>
    <xf numFmtId="41" fontId="41" fillId="0" borderId="0" applyFont="0" applyFill="0" applyBorder="0" applyAlignment="0" applyProtection="0"/>
    <xf numFmtId="178" fontId="41" fillId="0" borderId="0" applyFont="0" applyFill="0" applyBorder="0" applyAlignment="0" applyProtection="0"/>
    <xf numFmtId="41"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178"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79" fontId="41" fillId="0" borderId="0" applyFont="0" applyFill="0" applyBorder="0" applyAlignment="0" applyProtection="0"/>
    <xf numFmtId="43" fontId="41" fillId="0" borderId="0" applyFont="0" applyFill="0" applyBorder="0" applyAlignment="0" applyProtection="0"/>
    <xf numFmtId="179" fontId="41" fillId="0" borderId="0" applyFont="0" applyFill="0" applyBorder="0" applyAlignment="0" applyProtection="0"/>
    <xf numFmtId="43" fontId="41" fillId="0" borderId="0" applyFont="0" applyFill="0" applyBorder="0" applyAlignment="0" applyProtection="0"/>
    <xf numFmtId="179" fontId="41" fillId="0" borderId="0" applyFont="0" applyFill="0" applyBorder="0" applyAlignment="0" applyProtection="0"/>
    <xf numFmtId="43" fontId="41" fillId="0" borderId="0" applyFont="0" applyFill="0" applyBorder="0" applyAlignment="0" applyProtection="0"/>
    <xf numFmtId="179" fontId="41" fillId="0" borderId="0" applyFont="0" applyFill="0" applyBorder="0" applyAlignment="0" applyProtection="0"/>
    <xf numFmtId="43" fontId="41" fillId="0" borderId="0" applyFont="0" applyFill="0" applyBorder="0" applyAlignment="0" applyProtection="0"/>
    <xf numFmtId="179" fontId="41" fillId="0" borderId="0" applyFont="0" applyFill="0" applyBorder="0" applyAlignment="0" applyProtection="0"/>
    <xf numFmtId="43" fontId="41" fillId="0" borderId="0" applyFont="0" applyFill="0" applyBorder="0" applyAlignment="0" applyProtection="0"/>
    <xf numFmtId="179" fontId="41" fillId="0" borderId="0" applyFont="0" applyFill="0" applyBorder="0" applyAlignment="0" applyProtection="0"/>
    <xf numFmtId="43" fontId="41" fillId="0" borderId="0" applyFont="0" applyFill="0" applyBorder="0" applyAlignment="0" applyProtection="0"/>
    <xf numFmtId="179" fontId="41" fillId="0" borderId="0" applyFont="0" applyFill="0" applyBorder="0" applyAlignment="0" applyProtection="0"/>
    <xf numFmtId="43" fontId="41" fillId="0" borderId="0" applyFont="0" applyFill="0" applyBorder="0" applyAlignment="0" applyProtection="0"/>
    <xf numFmtId="179" fontId="41" fillId="0" borderId="0" applyFont="0" applyFill="0" applyBorder="0" applyAlignment="0" applyProtection="0"/>
    <xf numFmtId="43" fontId="41" fillId="0" borderId="0" applyFont="0" applyFill="0" applyBorder="0" applyAlignment="0" applyProtection="0"/>
    <xf numFmtId="179" fontId="41" fillId="0" borderId="0" applyFont="0" applyFill="0" applyBorder="0" applyAlignment="0" applyProtection="0"/>
    <xf numFmtId="43" fontId="41" fillId="0" borderId="0" applyFont="0" applyFill="0" applyBorder="0" applyAlignment="0" applyProtection="0"/>
    <xf numFmtId="179" fontId="41" fillId="0" borderId="0" applyFont="0" applyFill="0" applyBorder="0" applyAlignment="0" applyProtection="0"/>
    <xf numFmtId="43" fontId="41" fillId="0" borderId="0" applyFont="0" applyFill="0" applyBorder="0" applyAlignment="0" applyProtection="0"/>
    <xf numFmtId="179" fontId="41" fillId="0" borderId="0" applyFont="0" applyFill="0" applyBorder="0" applyAlignment="0" applyProtection="0"/>
    <xf numFmtId="43" fontId="41" fillId="0" borderId="0" applyFont="0" applyFill="0" applyBorder="0" applyAlignment="0" applyProtection="0"/>
    <xf numFmtId="179" fontId="41" fillId="0" borderId="0" applyFont="0" applyFill="0" applyBorder="0" applyAlignment="0" applyProtection="0"/>
    <xf numFmtId="43" fontId="41" fillId="0" borderId="0" applyFont="0" applyFill="0" applyBorder="0" applyAlignment="0" applyProtection="0"/>
    <xf numFmtId="179" fontId="41" fillId="0" borderId="0" applyFont="0" applyFill="0" applyBorder="0" applyAlignment="0" applyProtection="0"/>
    <xf numFmtId="43" fontId="41" fillId="0" borderId="0" applyFont="0" applyFill="0" applyBorder="0" applyAlignment="0" applyProtection="0"/>
    <xf numFmtId="179" fontId="41" fillId="0" borderId="0" applyFont="0" applyFill="0" applyBorder="0" applyAlignment="0" applyProtection="0"/>
    <xf numFmtId="43" fontId="41" fillId="0" borderId="0" applyFont="0" applyFill="0" applyBorder="0" applyAlignment="0" applyProtection="0"/>
    <xf numFmtId="179" fontId="41" fillId="0" borderId="0" applyFont="0" applyFill="0" applyBorder="0" applyAlignment="0" applyProtection="0"/>
    <xf numFmtId="43" fontId="41" fillId="0" borderId="0" applyFont="0" applyFill="0" applyBorder="0" applyAlignment="0" applyProtection="0"/>
    <xf numFmtId="179" fontId="41" fillId="0" borderId="0" applyFont="0" applyFill="0" applyBorder="0" applyAlignment="0" applyProtection="0"/>
    <xf numFmtId="43" fontId="41" fillId="0" borderId="0" applyFont="0" applyFill="0" applyBorder="0" applyAlignment="0" applyProtection="0"/>
    <xf numFmtId="179" fontId="41" fillId="0" borderId="0" applyFont="0" applyFill="0" applyBorder="0" applyAlignment="0" applyProtection="0"/>
    <xf numFmtId="43" fontId="41" fillId="0" borderId="0" applyFont="0" applyFill="0" applyBorder="0" applyAlignment="0" applyProtection="0"/>
    <xf numFmtId="179" fontId="41" fillId="0" borderId="0" applyFont="0" applyFill="0" applyBorder="0" applyAlignment="0" applyProtection="0"/>
    <xf numFmtId="43"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0" fontId="5" fillId="0" borderId="0" applyFill="0" applyBorder="0" applyAlignment="0"/>
    <xf numFmtId="0" fontId="5" fillId="0" borderId="0" applyFill="0" applyBorder="0" applyAlignment="0"/>
    <xf numFmtId="194" fontId="41" fillId="0" borderId="0" applyFill="0" applyBorder="0" applyAlignment="0"/>
    <xf numFmtId="194" fontId="41" fillId="0" borderId="0" applyFill="0" applyBorder="0" applyAlignment="0"/>
    <xf numFmtId="197" fontId="41" fillId="0" borderId="0" applyFill="0" applyBorder="0" applyAlignment="0"/>
    <xf numFmtId="197" fontId="41" fillId="0" borderId="0" applyFill="0" applyBorder="0" applyAlignment="0"/>
    <xf numFmtId="198" fontId="41" fillId="0" borderId="0" applyFill="0" applyBorder="0" applyAlignment="0"/>
    <xf numFmtId="198" fontId="41" fillId="0" borderId="0" applyFill="0" applyBorder="0" applyAlignment="0"/>
    <xf numFmtId="194" fontId="41" fillId="0" borderId="0" applyFill="0" applyBorder="0" applyAlignment="0"/>
    <xf numFmtId="194" fontId="41" fillId="0" borderId="0" applyFill="0" applyBorder="0" applyAlignment="0"/>
    <xf numFmtId="0" fontId="41" fillId="0" borderId="0" applyNumberFormat="0" applyAlignment="0">
      <alignment horizontal="left"/>
    </xf>
    <xf numFmtId="0" fontId="41" fillId="0" borderId="0" applyNumberFormat="0" applyAlignment="0">
      <alignment horizontal="left"/>
    </xf>
    <xf numFmtId="0" fontId="41" fillId="0" borderId="0"/>
    <xf numFmtId="206" fontId="13" fillId="0" borderId="0" applyFont="0" applyFill="0" applyBorder="0" applyAlignment="0" applyProtection="0"/>
    <xf numFmtId="0" fontId="41" fillId="0" borderId="0"/>
    <xf numFmtId="0" fontId="41" fillId="0" borderId="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2" fontId="5" fillId="0" borderId="0" applyFont="0" applyFill="0" applyBorder="0" applyAlignment="0" applyProtection="0"/>
    <xf numFmtId="0" fontId="14" fillId="2"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38" fontId="32" fillId="21" borderId="0" applyNumberFormat="0" applyBorder="0" applyAlignment="0" applyProtection="0"/>
    <xf numFmtId="0" fontId="41" fillId="0" borderId="23" applyNumberFormat="0" applyFill="0" applyBorder="0" applyAlignment="0" applyProtection="0">
      <alignment horizontal="center" vertical="center"/>
    </xf>
    <xf numFmtId="0" fontId="41" fillId="0" borderId="23" applyNumberFormat="0" applyFill="0" applyBorder="0" applyAlignment="0" applyProtection="0">
      <alignment horizontal="center" vertical="center"/>
    </xf>
    <xf numFmtId="0" fontId="41" fillId="0" borderId="0" applyNumberFormat="0" applyFont="0" applyBorder="0" applyAlignment="0">
      <alignment horizontal="left" vertical="center"/>
    </xf>
    <xf numFmtId="0" fontId="41" fillId="0" borderId="0" applyNumberFormat="0" applyFont="0" applyBorder="0" applyAlignment="0">
      <alignment horizontal="left" vertical="center"/>
    </xf>
    <xf numFmtId="0" fontId="41" fillId="44" borderId="0"/>
    <xf numFmtId="0" fontId="41" fillId="44" borderId="0"/>
    <xf numFmtId="0" fontId="41" fillId="0" borderId="0">
      <alignment horizontal="left"/>
    </xf>
    <xf numFmtId="0" fontId="55" fillId="0" borderId="0">
      <alignment horizontal="left"/>
    </xf>
    <xf numFmtId="0" fontId="41" fillId="0" borderId="0">
      <alignment horizontal="left"/>
    </xf>
    <xf numFmtId="0" fontId="41" fillId="0" borderId="0">
      <alignment horizontal="left"/>
    </xf>
    <xf numFmtId="0" fontId="56" fillId="0" borderId="24" applyNumberFormat="0" applyAlignment="0" applyProtection="0">
      <alignment horizontal="left" vertical="center"/>
    </xf>
    <xf numFmtId="0" fontId="56" fillId="0" borderId="7">
      <alignment horizontal="left" vertical="center"/>
    </xf>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41" fillId="0" borderId="25" applyNumberFormat="0" applyFill="0" applyAlignment="0" applyProtection="0"/>
    <xf numFmtId="0" fontId="41" fillId="0" borderId="25" applyNumberFormat="0" applyFill="0" applyAlignment="0" applyProtection="0"/>
    <xf numFmtId="0" fontId="41" fillId="0" borderId="25"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207" fontId="40" fillId="0" borderId="0">
      <protection locked="0"/>
    </xf>
    <xf numFmtId="208" fontId="57" fillId="0" borderId="0">
      <protection locked="0"/>
    </xf>
    <xf numFmtId="207" fontId="40" fillId="0" borderId="0">
      <protection locked="0"/>
    </xf>
    <xf numFmtId="207" fontId="40" fillId="0" borderId="0">
      <protection locked="0"/>
    </xf>
    <xf numFmtId="208" fontId="57" fillId="0" borderId="0">
      <protection locked="0"/>
    </xf>
    <xf numFmtId="207" fontId="40" fillId="0" borderId="0">
      <protection locked="0"/>
    </xf>
    <xf numFmtId="0" fontId="41" fillId="0" borderId="26">
      <alignment horizontal="center"/>
    </xf>
    <xf numFmtId="0" fontId="41" fillId="0" borderId="26">
      <alignment horizontal="center"/>
    </xf>
    <xf numFmtId="0" fontId="41" fillId="0" borderId="0">
      <alignment horizontal="center"/>
    </xf>
    <xf numFmtId="0" fontId="41" fillId="0" borderId="0">
      <alignment horizontal="center"/>
    </xf>
    <xf numFmtId="5" fontId="41" fillId="45" borderId="2" applyNumberFormat="0" applyAlignment="0">
      <alignment horizontal="left" vertical="top"/>
    </xf>
    <xf numFmtId="5" fontId="41" fillId="45" borderId="2" applyNumberFormat="0" applyAlignment="0">
      <alignment horizontal="left" vertical="top"/>
    </xf>
    <xf numFmtId="49" fontId="41" fillId="0" borderId="2">
      <alignment vertical="center"/>
    </xf>
    <xf numFmtId="49" fontId="41" fillId="0" borderId="2">
      <alignment vertical="center"/>
    </xf>
    <xf numFmtId="0" fontId="33" fillId="0" borderId="0"/>
    <xf numFmtId="41" fontId="43" fillId="0" borderId="0" applyFont="0" applyFill="0" applyBorder="0" applyAlignment="0" applyProtection="0"/>
    <xf numFmtId="10" fontId="32" fillId="21" borderId="2" applyNumberFormat="0" applyBorder="0" applyAlignment="0" applyProtection="0"/>
    <xf numFmtId="0" fontId="41" fillId="29" borderId="21" applyNumberFormat="0" applyAlignment="0" applyProtection="0"/>
    <xf numFmtId="0" fontId="41" fillId="29" borderId="21" applyNumberFormat="0" applyAlignment="0" applyProtection="0"/>
    <xf numFmtId="0" fontId="41" fillId="29" borderId="21" applyNumberFormat="0" applyAlignment="0" applyProtection="0"/>
    <xf numFmtId="0" fontId="41" fillId="29" borderId="21" applyNumberFormat="0" applyAlignment="0" applyProtection="0"/>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xf numFmtId="0" fontId="41" fillId="0" borderId="0"/>
    <xf numFmtId="0" fontId="51" fillId="0" borderId="27">
      <alignment horizontal="centerContinuous"/>
    </xf>
    <xf numFmtId="0" fontId="41" fillId="0" borderId="0"/>
    <xf numFmtId="0" fontId="6" fillId="0" borderId="0"/>
    <xf numFmtId="0" fontId="59" fillId="0" borderId="0"/>
    <xf numFmtId="0" fontId="6" fillId="0" borderId="0"/>
    <xf numFmtId="0" fontId="41" fillId="0" borderId="0"/>
    <xf numFmtId="0" fontId="41" fillId="0" borderId="0"/>
    <xf numFmtId="0" fontId="5" fillId="0" borderId="0" applyFill="0" applyBorder="0" applyAlignment="0"/>
    <xf numFmtId="0" fontId="5" fillId="0" borderId="0" applyFill="0" applyBorder="0" applyAlignment="0"/>
    <xf numFmtId="194" fontId="41" fillId="0" borderId="0" applyFill="0" applyBorder="0" applyAlignment="0"/>
    <xf numFmtId="194" fontId="41" fillId="0" borderId="0" applyFill="0" applyBorder="0" applyAlignment="0"/>
    <xf numFmtId="197" fontId="41" fillId="0" borderId="0" applyFill="0" applyBorder="0" applyAlignment="0"/>
    <xf numFmtId="197" fontId="41" fillId="0" borderId="0" applyFill="0" applyBorder="0" applyAlignment="0"/>
    <xf numFmtId="198" fontId="41" fillId="0" borderId="0" applyFill="0" applyBorder="0" applyAlignment="0"/>
    <xf numFmtId="198" fontId="41" fillId="0" borderId="0" applyFill="0" applyBorder="0" applyAlignment="0"/>
    <xf numFmtId="194" fontId="41" fillId="0" borderId="0" applyFill="0" applyBorder="0" applyAlignment="0"/>
    <xf numFmtId="194" fontId="41" fillId="0" borderId="0" applyFill="0" applyBorder="0" applyAlignment="0"/>
    <xf numFmtId="0" fontId="41" fillId="0" borderId="28" applyNumberFormat="0" applyFill="0" applyAlignment="0" applyProtection="0"/>
    <xf numFmtId="0" fontId="41" fillId="0" borderId="28" applyNumberFormat="0" applyFill="0" applyAlignment="0" applyProtection="0"/>
    <xf numFmtId="0" fontId="41" fillId="0" borderId="28" applyNumberFormat="0" applyFill="0" applyAlignment="0" applyProtection="0"/>
    <xf numFmtId="209" fontId="41" fillId="0" borderId="29" applyNumberFormat="0" applyFont="0" applyFill="0" applyBorder="0">
      <alignment horizontal="center"/>
    </xf>
    <xf numFmtId="209" fontId="41" fillId="0" borderId="29" applyNumberFormat="0" applyFont="0" applyFill="0" applyBorder="0">
      <alignment horizontal="center"/>
    </xf>
    <xf numFmtId="38" fontId="19" fillId="0" borderId="0" applyFont="0" applyFill="0" applyBorder="0" applyAlignment="0" applyProtection="0"/>
    <xf numFmtId="4" fontId="60" fillId="0" borderId="0" applyFont="0" applyFill="0" applyBorder="0" applyAlignment="0" applyProtection="0"/>
    <xf numFmtId="38" fontId="41" fillId="0" borderId="0" applyFont="0" applyFill="0" applyBorder="0" applyAlignment="0" applyProtection="0"/>
    <xf numFmtId="40" fontId="41" fillId="0" borderId="0" applyFont="0" applyFill="0" applyBorder="0" applyAlignment="0" applyProtection="0"/>
    <xf numFmtId="178" fontId="5" fillId="0" borderId="0" applyFont="0" applyFill="0" applyBorder="0" applyAlignment="0" applyProtection="0"/>
    <xf numFmtId="179" fontId="5" fillId="0" borderId="0" applyFont="0" applyFill="0" applyBorder="0" applyAlignment="0" applyProtection="0"/>
    <xf numFmtId="0" fontId="41" fillId="0" borderId="26"/>
    <xf numFmtId="0" fontId="61" fillId="0" borderId="26"/>
    <xf numFmtId="0" fontId="41" fillId="0" borderId="26"/>
    <xf numFmtId="0" fontId="41" fillId="0" borderId="26"/>
    <xf numFmtId="210" fontId="5" fillId="0" borderId="29"/>
    <xf numFmtId="211" fontId="13" fillId="0" borderId="29"/>
    <xf numFmtId="210" fontId="5" fillId="0" borderId="29"/>
    <xf numFmtId="210" fontId="5" fillId="0" borderId="29"/>
    <xf numFmtId="212" fontId="41" fillId="0" borderId="0" applyFont="0" applyFill="0" applyBorder="0" applyAlignment="0" applyProtection="0"/>
    <xf numFmtId="213" fontId="41" fillId="0" borderId="0" applyFont="0" applyFill="0" applyBorder="0" applyAlignment="0" applyProtection="0"/>
    <xf numFmtId="214" fontId="5" fillId="0" borderId="0" applyFont="0" applyFill="0" applyBorder="0" applyAlignment="0" applyProtection="0"/>
    <xf numFmtId="215" fontId="5" fillId="0" borderId="0" applyFont="0" applyFill="0" applyBorder="0" applyAlignment="0" applyProtection="0"/>
    <xf numFmtId="0" fontId="59" fillId="0" borderId="0" applyNumberFormat="0" applyFont="0" applyFill="0" applyAlignment="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33" fillId="0" borderId="0"/>
    <xf numFmtId="0" fontId="33" fillId="0" borderId="0"/>
    <xf numFmtId="37" fontId="41" fillId="0" borderId="0"/>
    <xf numFmtId="37" fontId="41" fillId="0" borderId="0"/>
    <xf numFmtId="0" fontId="41" fillId="0" borderId="2" applyNumberFormat="0" applyFont="0" applyFill="0" applyBorder="0" applyAlignment="0">
      <alignment horizontal="center"/>
    </xf>
    <xf numFmtId="0" fontId="41" fillId="0" borderId="2" applyNumberFormat="0" applyFont="0" applyFill="0" applyBorder="0" applyAlignment="0">
      <alignment horizontal="center"/>
    </xf>
    <xf numFmtId="216" fontId="62" fillId="0" borderId="0"/>
    <xf numFmtId="217" fontId="13" fillId="0" borderId="0"/>
    <xf numFmtId="216" fontId="62" fillId="0" borderId="0"/>
    <xf numFmtId="0" fontId="41" fillId="0" borderId="0"/>
    <xf numFmtId="0" fontId="41" fillId="0" borderId="0"/>
    <xf numFmtId="0" fontId="4" fillId="0" borderId="0"/>
    <xf numFmtId="0" fontId="6" fillId="0" borderId="0"/>
    <xf numFmtId="0" fontId="6"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3" fillId="0" borderId="0"/>
    <xf numFmtId="0"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0" fontId="6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2" fillId="0" borderId="0"/>
    <xf numFmtId="0" fontId="12" fillId="0" borderId="0"/>
    <xf numFmtId="0" fontId="12" fillId="0" borderId="0"/>
    <xf numFmtId="0" fontId="12"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2"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6" fillId="0" borderId="0"/>
    <xf numFmtId="0" fontId="12" fillId="0" borderId="0"/>
    <xf numFmtId="0" fontId="12" fillId="0" borderId="0"/>
    <xf numFmtId="0" fontId="12" fillId="0" borderId="0"/>
    <xf numFmtId="0" fontId="12" fillId="0" borderId="0"/>
    <xf numFmtId="0" fontId="12"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2"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2"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65" fillId="0" borderId="0"/>
    <xf numFmtId="0" fontId="36" fillId="0" borderId="0"/>
    <xf numFmtId="0" fontId="36" fillId="0" borderId="0"/>
    <xf numFmtId="0" fontId="36" fillId="0" borderId="0"/>
    <xf numFmtId="0" fontId="36" fillId="0" borderId="0"/>
    <xf numFmtId="0" fontId="38" fillId="0" borderId="0"/>
    <xf numFmtId="0" fontId="36" fillId="0" borderId="0"/>
    <xf numFmtId="0" fontId="36" fillId="0" borderId="0"/>
    <xf numFmtId="0" fontId="36" fillId="0" borderId="0"/>
    <xf numFmtId="0" fontId="36" fillId="0" borderId="0"/>
    <xf numFmtId="0" fontId="38"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65" fillId="0" borderId="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65" fillId="0" borderId="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65" fillId="0" borderId="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65" fillId="0" borderId="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65" fillId="0" borderId="0" applyProtection="0"/>
    <xf numFmtId="0" fontId="36" fillId="0" borderId="0"/>
    <xf numFmtId="0" fontId="36" fillId="0" borderId="0"/>
    <xf numFmtId="0" fontId="36" fillId="0" borderId="0"/>
    <xf numFmtId="0" fontId="36" fillId="0" borderId="0"/>
    <xf numFmtId="0" fontId="38"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6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6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4" fillId="0" borderId="0"/>
    <xf numFmtId="0" fontId="34" fillId="0" borderId="0"/>
    <xf numFmtId="0" fontId="36" fillId="0" borderId="0"/>
    <xf numFmtId="0" fontId="12" fillId="0" borderId="0"/>
    <xf numFmtId="0" fontId="36" fillId="0" borderId="0"/>
    <xf numFmtId="0" fontId="39" fillId="0" borderId="0"/>
    <xf numFmtId="0" fontId="39" fillId="0" borderId="0"/>
    <xf numFmtId="0" fontId="12" fillId="0" borderId="0"/>
    <xf numFmtId="0" fontId="12" fillId="0" borderId="0"/>
    <xf numFmtId="0" fontId="12" fillId="0" borderId="0"/>
    <xf numFmtId="0" fontId="12" fillId="0" borderId="0"/>
    <xf numFmtId="0" fontId="12" fillId="0" borderId="0"/>
    <xf numFmtId="0" fontId="12" fillId="0" borderId="0"/>
    <xf numFmtId="0" fontId="5" fillId="0" borderId="0"/>
    <xf numFmtId="0" fontId="38" fillId="0" borderId="0"/>
    <xf numFmtId="0" fontId="38" fillId="0" borderId="0"/>
    <xf numFmtId="0" fontId="38" fillId="0" borderId="0"/>
    <xf numFmtId="0" fontId="5" fillId="0" borderId="0"/>
    <xf numFmtId="0" fontId="38" fillId="0" borderId="0"/>
    <xf numFmtId="0" fontId="38" fillId="0" borderId="0"/>
    <xf numFmtId="0" fontId="3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 fillId="0" borderId="0"/>
    <xf numFmtId="0" fontId="38" fillId="0" borderId="0"/>
    <xf numFmtId="0" fontId="38" fillId="0" borderId="0"/>
    <xf numFmtId="0" fontId="3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8" fillId="0" borderId="0"/>
    <xf numFmtId="0" fontId="38" fillId="0" borderId="0"/>
    <xf numFmtId="0" fontId="38" fillId="0" borderId="0"/>
    <xf numFmtId="0" fontId="38" fillId="0" borderId="0"/>
    <xf numFmtId="0" fontId="38" fillId="0" borderId="0"/>
    <xf numFmtId="0" fontId="3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xf numFmtId="0" fontId="41" fillId="0" borderId="0"/>
    <xf numFmtId="0" fontId="41" fillId="0" borderId="0"/>
    <xf numFmtId="0" fontId="4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 fillId="0" borderId="0"/>
    <xf numFmtId="0" fontId="6" fillId="0" borderId="0"/>
    <xf numFmtId="0"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1" fillId="0" borderId="0"/>
    <xf numFmtId="0" fontId="13" fillId="0" borderId="0"/>
    <xf numFmtId="0" fontId="41" fillId="0" borderId="0"/>
    <xf numFmtId="0" fontId="41" fillId="0" borderId="0"/>
    <xf numFmtId="0" fontId="41" fillId="0" borderId="0" applyFont="0"/>
    <xf numFmtId="0" fontId="41" fillId="0" borderId="0" applyFont="0"/>
    <xf numFmtId="0" fontId="60" fillId="21" borderId="0"/>
    <xf numFmtId="0" fontId="41" fillId="0" borderId="0"/>
    <xf numFmtId="0" fontId="38" fillId="47" borderId="30" applyNumberFormat="0" applyFont="0" applyAlignment="0" applyProtection="0"/>
    <xf numFmtId="0" fontId="38" fillId="47" borderId="30" applyNumberFormat="0" applyFont="0" applyAlignment="0" applyProtection="0"/>
    <xf numFmtId="0" fontId="38" fillId="47" borderId="30" applyNumberFormat="0" applyFont="0" applyAlignment="0" applyProtection="0"/>
    <xf numFmtId="0" fontId="41" fillId="0" borderId="17" applyNumberFormat="0" applyAlignment="0">
      <alignment horizontal="center"/>
    </xf>
    <xf numFmtId="0" fontId="41" fillId="0" borderId="17" applyNumberFormat="0" applyAlignment="0">
      <alignment horizontal="center"/>
    </xf>
    <xf numFmtId="0" fontId="41" fillId="0" borderId="0"/>
    <xf numFmtId="178" fontId="67" fillId="0" borderId="0" applyFon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41" fillId="0" borderId="0" applyNumberFormat="0" applyFill="0" applyBorder="0" applyAlignment="0" applyProtection="0"/>
    <xf numFmtId="0" fontId="69"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3" fillId="0" borderId="0" applyNumberFormat="0" applyFill="0" applyBorder="0" applyAlignment="0" applyProtection="0"/>
    <xf numFmtId="0" fontId="41" fillId="0" borderId="0" applyNumberFormat="0" applyFill="0" applyBorder="0" applyAlignment="0" applyProtection="0"/>
    <xf numFmtId="0" fontId="5" fillId="0" borderId="0" applyFont="0" applyFill="0" applyBorder="0" applyAlignment="0" applyProtection="0"/>
    <xf numFmtId="0" fontId="33" fillId="0" borderId="0"/>
    <xf numFmtId="0" fontId="41" fillId="42" borderId="31" applyNumberFormat="0" applyAlignment="0" applyProtection="0"/>
    <xf numFmtId="0" fontId="41" fillId="42" borderId="31" applyNumberFormat="0" applyAlignment="0" applyProtection="0"/>
    <xf numFmtId="0" fontId="41" fillId="42" borderId="31" applyNumberFormat="0" applyAlignment="0" applyProtection="0"/>
    <xf numFmtId="41" fontId="5" fillId="0" borderId="0" applyFont="0" applyFill="0" applyBorder="0" applyAlignment="0" applyProtection="0"/>
    <xf numFmtId="41" fontId="5" fillId="0" borderId="0" applyFont="0" applyFill="0" applyBorder="0" applyAlignment="0" applyProtection="0"/>
    <xf numFmtId="14" fontId="51" fillId="0" borderId="0">
      <alignment horizontal="center" wrapText="1"/>
      <protection locked="0"/>
    </xf>
    <xf numFmtId="196" fontId="5" fillId="0" borderId="0" applyFont="0" applyFill="0" applyBorder="0" applyAlignment="0" applyProtection="0"/>
    <xf numFmtId="196" fontId="5" fillId="0" borderId="0" applyFont="0" applyFill="0" applyBorder="0" applyAlignment="0" applyProtection="0"/>
    <xf numFmtId="218" fontId="5" fillId="0" borderId="0" applyFont="0" applyFill="0" applyBorder="0" applyAlignment="0" applyProtection="0"/>
    <xf numFmtId="218"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41" fillId="0" borderId="32" applyNumberFormat="0" applyBorder="0"/>
    <xf numFmtId="9" fontId="41" fillId="0" borderId="32" applyNumberFormat="0" applyBorder="0"/>
    <xf numFmtId="0" fontId="5" fillId="0" borderId="0" applyFill="0" applyBorder="0" applyAlignment="0"/>
    <xf numFmtId="0" fontId="5" fillId="0" borderId="0" applyFill="0" applyBorder="0" applyAlignment="0"/>
    <xf numFmtId="194" fontId="41" fillId="0" borderId="0" applyFill="0" applyBorder="0" applyAlignment="0"/>
    <xf numFmtId="194" fontId="41" fillId="0" borderId="0" applyFill="0" applyBorder="0" applyAlignment="0"/>
    <xf numFmtId="197" fontId="41" fillId="0" borderId="0" applyFill="0" applyBorder="0" applyAlignment="0"/>
    <xf numFmtId="197" fontId="41" fillId="0" borderId="0" applyFill="0" applyBorder="0" applyAlignment="0"/>
    <xf numFmtId="198" fontId="41" fillId="0" borderId="0" applyFill="0" applyBorder="0" applyAlignment="0"/>
    <xf numFmtId="198" fontId="41" fillId="0" borderId="0" applyFill="0" applyBorder="0" applyAlignment="0"/>
    <xf numFmtId="194" fontId="41" fillId="0" borderId="0" applyFill="0" applyBorder="0" applyAlignment="0"/>
    <xf numFmtId="194" fontId="41" fillId="0" borderId="0" applyFill="0" applyBorder="0" applyAlignment="0"/>
    <xf numFmtId="0" fontId="41" fillId="0" borderId="0"/>
    <xf numFmtId="0" fontId="41" fillId="0" borderId="0"/>
    <xf numFmtId="0" fontId="41" fillId="0" borderId="0" applyNumberFormat="0" applyFont="0" applyFill="0" applyBorder="0" applyAlignment="0" applyProtection="0">
      <alignment horizontal="left"/>
    </xf>
    <xf numFmtId="0" fontId="41" fillId="0" borderId="0" applyNumberFormat="0" applyFont="0" applyFill="0" applyBorder="0" applyAlignment="0" applyProtection="0">
      <alignment horizontal="left"/>
    </xf>
    <xf numFmtId="0" fontId="41" fillId="0" borderId="26">
      <alignment horizontal="center"/>
    </xf>
    <xf numFmtId="0" fontId="41" fillId="0" borderId="26">
      <alignment horizontal="center"/>
    </xf>
    <xf numFmtId="0" fontId="41" fillId="48" borderId="0" applyNumberFormat="0" applyFont="0" applyBorder="0" applyAlignment="0">
      <alignment horizontal="center"/>
    </xf>
    <xf numFmtId="0" fontId="41" fillId="48" borderId="0" applyNumberFormat="0" applyFont="0" applyBorder="0" applyAlignment="0">
      <alignment horizontal="center"/>
    </xf>
    <xf numFmtId="14" fontId="41" fillId="0" borderId="0" applyNumberFormat="0" applyFill="0" applyBorder="0" applyAlignment="0" applyProtection="0">
      <alignment horizontal="left"/>
    </xf>
    <xf numFmtId="14" fontId="41" fillId="0" borderId="0" applyNumberFormat="0" applyFill="0" applyBorder="0" applyAlignment="0" applyProtection="0">
      <alignment horizontal="left"/>
    </xf>
    <xf numFmtId="0" fontId="41" fillId="0" borderId="0"/>
    <xf numFmtId="41" fontId="43" fillId="0" borderId="0" applyFont="0" applyFill="0" applyBorder="0" applyAlignment="0" applyProtection="0"/>
    <xf numFmtId="0" fontId="41" fillId="0" borderId="0" applyNumberFormat="0" applyFill="0" applyBorder="0" applyAlignment="0" applyProtection="0"/>
    <xf numFmtId="0" fontId="13" fillId="0" borderId="0" applyNumberFormat="0" applyFill="0" applyBorder="0" applyAlignment="0" applyProtection="0"/>
    <xf numFmtId="0" fontId="41" fillId="0" borderId="0" applyNumberFormat="0" applyFill="0" applyBorder="0" applyAlignment="0" applyProtection="0"/>
    <xf numFmtId="4" fontId="70" fillId="49" borderId="33" applyNumberFormat="0" applyProtection="0">
      <alignment vertical="center"/>
    </xf>
    <xf numFmtId="4" fontId="41" fillId="49" borderId="33" applyNumberFormat="0" applyProtection="0">
      <alignment vertical="center"/>
    </xf>
    <xf numFmtId="4" fontId="41" fillId="49" borderId="33" applyNumberFormat="0" applyProtection="0">
      <alignment vertical="center"/>
    </xf>
    <xf numFmtId="4" fontId="71" fillId="49" borderId="33" applyNumberFormat="0" applyProtection="0">
      <alignment horizontal="left" vertical="center" indent="1"/>
    </xf>
    <xf numFmtId="4" fontId="71" fillId="50" borderId="0" applyNumberFormat="0" applyProtection="0">
      <alignment horizontal="left" vertical="center" indent="1"/>
    </xf>
    <xf numFmtId="4" fontId="71" fillId="51" borderId="33" applyNumberFormat="0" applyProtection="0">
      <alignment horizontal="right" vertical="center"/>
    </xf>
    <xf numFmtId="4" fontId="71" fillId="52" borderId="33" applyNumberFormat="0" applyProtection="0">
      <alignment horizontal="right" vertical="center"/>
    </xf>
    <xf numFmtId="4" fontId="71" fillId="53" borderId="33" applyNumberFormat="0" applyProtection="0">
      <alignment horizontal="right" vertical="center"/>
    </xf>
    <xf numFmtId="4" fontId="71" fillId="54" borderId="33" applyNumberFormat="0" applyProtection="0">
      <alignment horizontal="right" vertical="center"/>
    </xf>
    <xf numFmtId="4" fontId="71" fillId="55" borderId="33" applyNumberFormat="0" applyProtection="0">
      <alignment horizontal="right" vertical="center"/>
    </xf>
    <xf numFmtId="4" fontId="71" fillId="56" borderId="33" applyNumberFormat="0" applyProtection="0">
      <alignment horizontal="right" vertical="center"/>
    </xf>
    <xf numFmtId="4" fontId="71" fillId="57" borderId="33" applyNumberFormat="0" applyProtection="0">
      <alignment horizontal="right" vertical="center"/>
    </xf>
    <xf numFmtId="4" fontId="71" fillId="58" borderId="33" applyNumberFormat="0" applyProtection="0">
      <alignment horizontal="right" vertical="center"/>
    </xf>
    <xf numFmtId="4" fontId="71" fillId="59" borderId="33" applyNumberFormat="0" applyProtection="0">
      <alignment horizontal="right" vertical="center"/>
    </xf>
    <xf numFmtId="4" fontId="70" fillId="60" borderId="34" applyNumberFormat="0" applyProtection="0">
      <alignment horizontal="left" vertical="center" indent="1"/>
    </xf>
    <xf numFmtId="4" fontId="70" fillId="61" borderId="0" applyNumberFormat="0" applyProtection="0">
      <alignment horizontal="left" vertical="center" indent="1"/>
    </xf>
    <xf numFmtId="4" fontId="70" fillId="50" borderId="0" applyNumberFormat="0" applyProtection="0">
      <alignment horizontal="left" vertical="center" indent="1"/>
    </xf>
    <xf numFmtId="4" fontId="71" fillId="61" borderId="33" applyNumberFormat="0" applyProtection="0">
      <alignment horizontal="right" vertical="center"/>
    </xf>
    <xf numFmtId="4" fontId="54" fillId="61" borderId="0" applyNumberFormat="0" applyProtection="0">
      <alignment horizontal="left" vertical="center" indent="1"/>
    </xf>
    <xf numFmtId="4" fontId="54" fillId="50" borderId="0" applyNumberFormat="0" applyProtection="0">
      <alignment horizontal="left" vertical="center" indent="1"/>
    </xf>
    <xf numFmtId="4" fontId="71" fillId="62" borderId="33" applyNumberFormat="0" applyProtection="0">
      <alignment vertical="center"/>
    </xf>
    <xf numFmtId="4" fontId="72" fillId="62" borderId="33" applyNumberFormat="0" applyProtection="0">
      <alignment vertical="center"/>
    </xf>
    <xf numFmtId="4" fontId="70" fillId="61" borderId="35" applyNumberFormat="0" applyProtection="0">
      <alignment horizontal="left" vertical="center" indent="1"/>
    </xf>
    <xf numFmtId="4" fontId="71" fillId="62" borderId="33" applyNumberFormat="0" applyProtection="0">
      <alignment horizontal="right" vertical="center"/>
    </xf>
    <xf numFmtId="4" fontId="72" fillId="62" borderId="33" applyNumberFormat="0" applyProtection="0">
      <alignment horizontal="right" vertical="center"/>
    </xf>
    <xf numFmtId="4" fontId="70" fillId="61" borderId="33" applyNumberFormat="0" applyProtection="0">
      <alignment horizontal="left" vertical="center" indent="1"/>
    </xf>
    <xf numFmtId="4" fontId="41" fillId="45" borderId="35" applyNumberFormat="0" applyProtection="0">
      <alignment horizontal="left" vertical="center" indent="1"/>
    </xf>
    <xf numFmtId="4" fontId="41" fillId="45" borderId="35" applyNumberFormat="0" applyProtection="0">
      <alignment horizontal="left" vertical="center" indent="1"/>
    </xf>
    <xf numFmtId="4" fontId="73" fillId="62" borderId="33" applyNumberFormat="0" applyProtection="0">
      <alignment horizontal="right" vertical="center"/>
    </xf>
    <xf numFmtId="219" fontId="41" fillId="0" borderId="0" applyFont="0" applyFill="0" applyBorder="0" applyAlignment="0" applyProtection="0"/>
    <xf numFmtId="219" fontId="41" fillId="0" borderId="0" applyFont="0" applyFill="0" applyBorder="0" applyAlignment="0" applyProtection="0"/>
    <xf numFmtId="0" fontId="41" fillId="1" borderId="7" applyNumberFormat="0" applyFont="0" applyAlignment="0">
      <alignment horizontal="center"/>
    </xf>
    <xf numFmtId="0" fontId="41" fillId="1" borderId="7" applyNumberFormat="0" applyFont="0" applyAlignment="0">
      <alignment horizontal="center"/>
    </xf>
    <xf numFmtId="3" fontId="40" fillId="0" borderId="0"/>
    <xf numFmtId="0" fontId="41" fillId="0" borderId="0" applyNumberFormat="0" applyFill="0" applyBorder="0" applyAlignment="0">
      <alignment horizontal="center"/>
    </xf>
    <xf numFmtId="0" fontId="41" fillId="0" borderId="0" applyNumberFormat="0" applyFill="0" applyBorder="0" applyAlignment="0">
      <alignment horizontal="center"/>
    </xf>
    <xf numFmtId="0" fontId="5" fillId="0" borderId="0"/>
    <xf numFmtId="169" fontId="41" fillId="0" borderId="0" applyNumberFormat="0" applyBorder="0" applyAlignment="0">
      <alignment horizontal="centerContinuous"/>
    </xf>
    <xf numFmtId="169" fontId="41" fillId="0" borderId="0" applyNumberFormat="0" applyBorder="0" applyAlignment="0">
      <alignment horizontal="centerContinuous"/>
    </xf>
    <xf numFmtId="0" fontId="13" fillId="0" borderId="4">
      <alignment horizontal="center"/>
    </xf>
    <xf numFmtId="0" fontId="50" fillId="0" borderId="0" applyNumberFormat="0" applyFill="0" applyBorder="0" applyAlignment="0" applyProtection="0"/>
    <xf numFmtId="0" fontId="44" fillId="0" borderId="0"/>
    <xf numFmtId="0" fontId="44" fillId="0" borderId="0"/>
    <xf numFmtId="169" fontId="41" fillId="0" borderId="0" applyFont="0" applyFill="0" applyBorder="0" applyAlignment="0" applyProtection="0"/>
    <xf numFmtId="169" fontId="41" fillId="0" borderId="0" applyFont="0" applyFill="0" applyBorder="0" applyAlignment="0" applyProtection="0"/>
    <xf numFmtId="41"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81"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2" fontId="43" fillId="0" borderId="0" applyFont="0" applyFill="0" applyBorder="0" applyAlignment="0" applyProtection="0"/>
    <xf numFmtId="41" fontId="43" fillId="0" borderId="0" applyFont="0" applyFill="0" applyBorder="0" applyAlignment="0" applyProtection="0"/>
    <xf numFmtId="183" fontId="43" fillId="0" borderId="0" applyFont="0" applyFill="0" applyBorder="0" applyAlignment="0" applyProtection="0"/>
    <xf numFmtId="184" fontId="40" fillId="0" borderId="0" applyFont="0" applyFill="0" applyBorder="0" applyAlignment="0" applyProtection="0"/>
    <xf numFmtId="184" fontId="43" fillId="0" borderId="0" applyFont="0" applyFill="0" applyBorder="0" applyAlignment="0" applyProtection="0"/>
    <xf numFmtId="0" fontId="41" fillId="0" borderId="0"/>
    <xf numFmtId="0" fontId="41" fillId="0" borderId="0"/>
    <xf numFmtId="220" fontId="41" fillId="0" borderId="0" applyFont="0" applyFill="0" applyBorder="0" applyAlignment="0" applyProtection="0"/>
    <xf numFmtId="220" fontId="41"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81"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0" fontId="41" fillId="0" borderId="0"/>
    <xf numFmtId="0" fontId="61" fillId="0" borderId="0"/>
    <xf numFmtId="0" fontId="41" fillId="0" borderId="0"/>
    <xf numFmtId="0" fontId="41" fillId="0" borderId="0"/>
    <xf numFmtId="40" fontId="41" fillId="0" borderId="0" applyBorder="0">
      <alignment horizontal="right"/>
    </xf>
    <xf numFmtId="40" fontId="41" fillId="0" borderId="0" applyBorder="0">
      <alignment horizontal="right"/>
    </xf>
    <xf numFmtId="0" fontId="41" fillId="0" borderId="0"/>
    <xf numFmtId="0" fontId="41" fillId="0" borderId="0"/>
    <xf numFmtId="221" fontId="41" fillId="0" borderId="6">
      <alignment horizontal="right" vertical="center"/>
    </xf>
    <xf numFmtId="221" fontId="69" fillId="0" borderId="6">
      <alignment horizontal="right" vertical="center"/>
    </xf>
    <xf numFmtId="221" fontId="41" fillId="0" borderId="6">
      <alignment horizontal="right" vertical="center"/>
    </xf>
    <xf numFmtId="221" fontId="41" fillId="0" borderId="6">
      <alignment horizontal="right" vertical="center"/>
    </xf>
    <xf numFmtId="221" fontId="41" fillId="0" borderId="6">
      <alignment horizontal="right" vertical="center"/>
    </xf>
    <xf numFmtId="221" fontId="41" fillId="0" borderId="6">
      <alignment horizontal="right" vertical="center"/>
    </xf>
    <xf numFmtId="222" fontId="5" fillId="0" borderId="6">
      <alignment horizontal="right" vertical="center"/>
    </xf>
    <xf numFmtId="222" fontId="5" fillId="0" borderId="6">
      <alignment horizontal="right" vertical="center"/>
    </xf>
    <xf numFmtId="223" fontId="41" fillId="22" borderId="36" applyFont="0" applyFill="0" applyBorder="0"/>
    <xf numFmtId="223" fontId="41" fillId="22" borderId="36" applyFont="0" applyFill="0" applyBorder="0"/>
    <xf numFmtId="223" fontId="41" fillId="22" borderId="36" applyFont="0" applyFill="0" applyBorder="0"/>
    <xf numFmtId="223" fontId="41" fillId="22" borderId="36" applyFont="0" applyFill="0" applyBorder="0"/>
    <xf numFmtId="221" fontId="41" fillId="0" borderId="6">
      <alignment horizontal="right" vertical="center"/>
    </xf>
    <xf numFmtId="221" fontId="41" fillId="0" borderId="6">
      <alignment horizontal="right" vertical="center"/>
    </xf>
    <xf numFmtId="221" fontId="41" fillId="0" borderId="6">
      <alignment horizontal="right" vertical="center"/>
    </xf>
    <xf numFmtId="221" fontId="41" fillId="0" borderId="6">
      <alignment horizontal="right" vertical="center"/>
    </xf>
    <xf numFmtId="221" fontId="41" fillId="0" borderId="6">
      <alignment horizontal="right" vertical="center"/>
    </xf>
    <xf numFmtId="221" fontId="41" fillId="0" borderId="6">
      <alignment horizontal="right" vertical="center"/>
    </xf>
    <xf numFmtId="223" fontId="41" fillId="22" borderId="36" applyFont="0" applyFill="0" applyBorder="0"/>
    <xf numFmtId="223" fontId="41" fillId="22" borderId="36" applyFont="0" applyFill="0" applyBorder="0"/>
    <xf numFmtId="221" fontId="41" fillId="0" borderId="6">
      <alignment horizontal="right" vertical="center"/>
    </xf>
    <xf numFmtId="221" fontId="41" fillId="0" borderId="6">
      <alignment horizontal="right" vertical="center"/>
    </xf>
    <xf numFmtId="224" fontId="41" fillId="0" borderId="6">
      <alignment horizontal="right" vertical="center"/>
    </xf>
    <xf numFmtId="224" fontId="41" fillId="0" borderId="6">
      <alignment horizontal="right" vertical="center"/>
    </xf>
    <xf numFmtId="49" fontId="54" fillId="0" borderId="0" applyFill="0" applyBorder="0" applyAlignment="0"/>
    <xf numFmtId="49" fontId="54" fillId="0" borderId="0" applyFill="0" applyBorder="0" applyAlignment="0"/>
    <xf numFmtId="0" fontId="5" fillId="0" borderId="0" applyFill="0" applyBorder="0" applyAlignment="0"/>
    <xf numFmtId="0" fontId="5" fillId="0" borderId="0" applyFill="0" applyBorder="0" applyAlignment="0"/>
    <xf numFmtId="225" fontId="5" fillId="0" borderId="0" applyFill="0" applyBorder="0" applyAlignment="0"/>
    <xf numFmtId="225" fontId="5" fillId="0" borderId="0" applyFill="0" applyBorder="0" applyAlignment="0"/>
    <xf numFmtId="40" fontId="37" fillId="0" borderId="0"/>
    <xf numFmtId="3" fontId="41" fillId="0" borderId="0" applyNumberFormat="0" applyFill="0" applyBorder="0" applyAlignment="0" applyProtection="0">
      <alignment horizontal="center" wrapText="1"/>
    </xf>
    <xf numFmtId="3" fontId="41" fillId="0" borderId="0" applyNumberFormat="0" applyFill="0" applyBorder="0" applyAlignment="0" applyProtection="0">
      <alignment horizontal="center" wrapText="1"/>
    </xf>
    <xf numFmtId="0" fontId="41" fillId="0" borderId="3" applyBorder="0" applyAlignment="0">
      <alignment horizontal="center" vertical="center"/>
    </xf>
    <xf numFmtId="0" fontId="41" fillId="0" borderId="3" applyBorder="0" applyAlignment="0">
      <alignment horizontal="center" vertical="center"/>
    </xf>
    <xf numFmtId="0" fontId="41" fillId="0" borderId="0" applyNumberFormat="0" applyFill="0" applyBorder="0" applyAlignment="0" applyProtection="0">
      <alignment horizontal="centerContinuous"/>
    </xf>
    <xf numFmtId="0" fontId="41" fillId="0" borderId="0" applyNumberFormat="0" applyFill="0" applyBorder="0" applyAlignment="0" applyProtection="0">
      <alignment horizontal="centerContinuous"/>
    </xf>
    <xf numFmtId="0" fontId="41" fillId="0" borderId="37" applyNumberFormat="0" applyFill="0" applyBorder="0" applyAlignment="0" applyProtection="0">
      <alignment horizontal="center" vertical="center" wrapText="1"/>
    </xf>
    <xf numFmtId="0" fontId="41" fillId="0" borderId="37" applyNumberFormat="0" applyFill="0" applyBorder="0" applyAlignment="0" applyProtection="0">
      <alignment horizontal="center" vertical="center" wrapText="1"/>
    </xf>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38" applyNumberFormat="0" applyBorder="0" applyAlignment="0">
      <alignment vertical="center"/>
    </xf>
    <xf numFmtId="0" fontId="41" fillId="0" borderId="38" applyNumberFormat="0" applyBorder="0" applyAlignment="0">
      <alignment vertical="center"/>
    </xf>
    <xf numFmtId="0" fontId="5" fillId="0" borderId="20" applyNumberFormat="0" applyFont="0" applyFill="0" applyAlignment="0" applyProtection="0"/>
    <xf numFmtId="0" fontId="5" fillId="0" borderId="20" applyNumberFormat="0" applyFont="0" applyFill="0" applyAlignment="0" applyProtection="0"/>
    <xf numFmtId="0" fontId="5" fillId="0" borderId="20" applyNumberFormat="0" applyFont="0" applyFill="0" applyAlignment="0" applyProtection="0"/>
    <xf numFmtId="178" fontId="5" fillId="0" borderId="0" applyFont="0" applyFill="0" applyBorder="0" applyAlignment="0" applyProtection="0"/>
    <xf numFmtId="226" fontId="5" fillId="0" borderId="0" applyFont="0" applyFill="0" applyBorder="0" applyAlignment="0" applyProtection="0"/>
    <xf numFmtId="184" fontId="41" fillId="0" borderId="6">
      <alignment horizontal="center"/>
    </xf>
    <xf numFmtId="184" fontId="69" fillId="0" borderId="6">
      <alignment horizontal="center"/>
    </xf>
    <xf numFmtId="184" fontId="41" fillId="0" borderId="6">
      <alignment horizontal="center"/>
    </xf>
    <xf numFmtId="184" fontId="41" fillId="0" borderId="6">
      <alignment horizontal="center"/>
    </xf>
    <xf numFmtId="227" fontId="74" fillId="0" borderId="0" applyNumberFormat="0" applyFont="0" applyFill="0" applyBorder="0" applyAlignment="0">
      <alignment horizontal="centerContinuous"/>
    </xf>
    <xf numFmtId="0" fontId="41" fillId="0" borderId="39"/>
    <xf numFmtId="0" fontId="41" fillId="0" borderId="39"/>
    <xf numFmtId="0" fontId="41" fillId="0" borderId="0" applyNumberFormat="0" applyFill="0" applyBorder="0" applyAlignment="0" applyProtection="0"/>
    <xf numFmtId="0" fontId="69"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5" fillId="0" borderId="0" applyNumberFormat="0" applyFill="0" applyBorder="0" applyAlignment="0" applyProtection="0"/>
    <xf numFmtId="0" fontId="68" fillId="0" borderId="0" applyNumberFormat="0" applyFill="0" applyBorder="0" applyAlignment="0" applyProtection="0"/>
    <xf numFmtId="0" fontId="41" fillId="0" borderId="17" applyNumberFormat="0" applyBorder="0" applyAlignment="0"/>
    <xf numFmtId="0" fontId="41" fillId="0" borderId="17" applyNumberFormat="0" applyBorder="0" applyAlignment="0"/>
    <xf numFmtId="0" fontId="41" fillId="0" borderId="29" applyNumberFormat="0" applyBorder="0" applyAlignment="0">
      <alignment horizontal="center"/>
    </xf>
    <xf numFmtId="0" fontId="41" fillId="0" borderId="29" applyNumberFormat="0" applyBorder="0" applyAlignment="0">
      <alignment horizontal="center"/>
    </xf>
    <xf numFmtId="3" fontId="41" fillId="0" borderId="23" applyNumberFormat="0" applyBorder="0" applyAlignment="0"/>
    <xf numFmtId="3" fontId="41" fillId="0" borderId="23" applyNumberFormat="0" applyBorder="0" applyAlignment="0"/>
    <xf numFmtId="228" fontId="75" fillId="0" borderId="0" applyFont="0" applyFill="0" applyBorder="0" applyAlignment="0" applyProtection="0"/>
    <xf numFmtId="229" fontId="76" fillId="0" borderId="0" applyFont="0" applyFill="0" applyBorder="0" applyAlignment="0" applyProtection="0"/>
    <xf numFmtId="225" fontId="41" fillId="0" borderId="0"/>
    <xf numFmtId="225" fontId="69" fillId="0" borderId="0"/>
    <xf numFmtId="225" fontId="41" fillId="0" borderId="0"/>
    <xf numFmtId="225" fontId="41" fillId="0" borderId="0"/>
    <xf numFmtId="230" fontId="41" fillId="0" borderId="2"/>
    <xf numFmtId="230" fontId="69" fillId="0" borderId="2"/>
    <xf numFmtId="230" fontId="41" fillId="0" borderId="2"/>
    <xf numFmtId="230" fontId="41" fillId="0" borderId="2"/>
    <xf numFmtId="0" fontId="62" fillId="0" borderId="0"/>
    <xf numFmtId="3" fontId="41" fillId="0" borderId="0" applyNumberFormat="0" applyBorder="0" applyAlignment="0" applyProtection="0">
      <alignment horizontal="centerContinuous"/>
      <protection locked="0"/>
    </xf>
    <xf numFmtId="3" fontId="41" fillId="0" borderId="0" applyNumberFormat="0" applyBorder="0" applyAlignment="0" applyProtection="0">
      <alignment horizontal="centerContinuous"/>
      <protection locked="0"/>
    </xf>
    <xf numFmtId="3" fontId="41" fillId="0" borderId="0">
      <protection locked="0"/>
    </xf>
    <xf numFmtId="3" fontId="41" fillId="0" borderId="0">
      <protection locked="0"/>
    </xf>
    <xf numFmtId="0" fontId="62" fillId="0" borderId="0"/>
    <xf numFmtId="5" fontId="41" fillId="63" borderId="3">
      <alignment vertical="top"/>
    </xf>
    <xf numFmtId="5" fontId="41" fillId="63" borderId="3">
      <alignment vertical="top"/>
    </xf>
    <xf numFmtId="5" fontId="41" fillId="0" borderId="4">
      <alignment horizontal="left" vertical="top"/>
    </xf>
    <xf numFmtId="5" fontId="41" fillId="0" borderId="4">
      <alignment horizontal="left" vertical="top"/>
    </xf>
    <xf numFmtId="0" fontId="41" fillId="0" borderId="4">
      <alignment horizontal="left" vertical="center"/>
    </xf>
    <xf numFmtId="0" fontId="41" fillId="0" borderId="4">
      <alignment horizontal="left" vertical="center"/>
    </xf>
    <xf numFmtId="0" fontId="41" fillId="64" borderId="2">
      <alignment horizontal="left" vertical="center"/>
    </xf>
    <xf numFmtId="0" fontId="41" fillId="64" borderId="2">
      <alignment horizontal="left" vertical="center"/>
    </xf>
    <xf numFmtId="6" fontId="41" fillId="65" borderId="3"/>
    <xf numFmtId="6" fontId="41" fillId="65" borderId="3"/>
    <xf numFmtId="5" fontId="41" fillId="0" borderId="3">
      <alignment horizontal="left" vertical="top"/>
    </xf>
    <xf numFmtId="5" fontId="41" fillId="0" borderId="3">
      <alignment horizontal="left" vertical="top"/>
    </xf>
    <xf numFmtId="0" fontId="41" fillId="66" borderId="0">
      <alignment horizontal="left" vertical="center"/>
    </xf>
    <xf numFmtId="0" fontId="41" fillId="66" borderId="0">
      <alignment horizontal="left" vertical="center"/>
    </xf>
    <xf numFmtId="42" fontId="41" fillId="0" borderId="0" applyFont="0" applyFill="0" applyBorder="0" applyAlignment="0" applyProtection="0"/>
    <xf numFmtId="44" fontId="41" fillId="0" borderId="0" applyFon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77"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0" fontId="38" fillId="0" borderId="0">
      <alignment vertical="center"/>
    </xf>
    <xf numFmtId="40" fontId="41" fillId="0" borderId="0" applyFont="0" applyFill="0" applyBorder="0" applyAlignment="0" applyProtection="0"/>
    <xf numFmtId="38" fontId="41" fillId="0" borderId="0" applyFon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0" fontId="41" fillId="0" borderId="0"/>
    <xf numFmtId="0" fontId="41" fillId="0" borderId="19"/>
    <xf numFmtId="0" fontId="78" fillId="0" borderId="19"/>
    <xf numFmtId="0" fontId="41" fillId="0" borderId="19"/>
    <xf numFmtId="0" fontId="41" fillId="0" borderId="19"/>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applyFont="0" applyFill="0" applyBorder="0" applyAlignment="0" applyProtection="0"/>
    <xf numFmtId="0" fontId="41" fillId="0" borderId="0" applyFont="0" applyFill="0" applyBorder="0" applyAlignment="0" applyProtection="0"/>
    <xf numFmtId="0" fontId="41" fillId="0" borderId="0"/>
    <xf numFmtId="0" fontId="59" fillId="0" borderId="0"/>
    <xf numFmtId="192" fontId="41" fillId="0" borderId="0" applyFont="0" applyFill="0" applyBorder="0" applyAlignment="0" applyProtection="0"/>
    <xf numFmtId="178" fontId="65" fillId="0" borderId="0" applyFont="0" applyFill="0" applyBorder="0" applyAlignment="0" applyProtection="0"/>
    <xf numFmtId="179" fontId="65" fillId="0" borderId="0" applyFont="0" applyFill="0" applyBorder="0" applyAlignment="0" applyProtection="0"/>
    <xf numFmtId="0" fontId="41" fillId="0" borderId="0"/>
    <xf numFmtId="43" fontId="5" fillId="0" borderId="0" applyFont="0" applyFill="0" applyBorder="0" applyAlignment="0" applyProtection="0"/>
    <xf numFmtId="41" fontId="5" fillId="0" borderId="0" applyFont="0" applyFill="0" applyBorder="0" applyAlignment="0" applyProtection="0"/>
    <xf numFmtId="0" fontId="5" fillId="0" borderId="0"/>
    <xf numFmtId="172" fontId="65" fillId="0" borderId="0" applyFont="0" applyFill="0" applyBorder="0" applyAlignment="0" applyProtection="0"/>
    <xf numFmtId="231" fontId="41" fillId="0" borderId="0" applyFont="0" applyFill="0" applyBorder="0" applyAlignment="0" applyProtection="0"/>
    <xf numFmtId="197" fontId="6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9" fontId="5" fillId="0" borderId="0" applyFont="0" applyFill="0" applyBorder="0" applyAlignment="0" applyProtection="0"/>
    <xf numFmtId="0" fontId="4" fillId="0" borderId="0"/>
    <xf numFmtId="0" fontId="31" fillId="0" borderId="0"/>
    <xf numFmtId="165" fontId="97" fillId="0" borderId="0" applyFont="0" applyFill="0" applyBorder="0" applyAlignment="0" applyProtection="0"/>
    <xf numFmtId="165" fontId="97" fillId="0" borderId="0" applyFont="0" applyFill="0" applyBorder="0" applyAlignment="0" applyProtection="0"/>
    <xf numFmtId="43" fontId="96" fillId="0" borderId="0" applyFont="0" applyFill="0" applyBorder="0" applyAlignment="0" applyProtection="0"/>
    <xf numFmtId="0" fontId="4" fillId="0" borderId="0"/>
    <xf numFmtId="0" fontId="4" fillId="0" borderId="0"/>
    <xf numFmtId="0" fontId="4" fillId="0" borderId="0"/>
    <xf numFmtId="165" fontId="97" fillId="0" borderId="0" applyFont="0" applyFill="0" applyBorder="0" applyAlignment="0" applyProtection="0"/>
    <xf numFmtId="43" fontId="96" fillId="0" borderId="0" applyFont="0" applyFill="0" applyBorder="0" applyAlignment="0" applyProtection="0"/>
    <xf numFmtId="167" fontId="96" fillId="0" borderId="0" applyFont="0" applyFill="0" applyBorder="0" applyAlignment="0" applyProtection="0"/>
    <xf numFmtId="0" fontId="4" fillId="0" borderId="0"/>
    <xf numFmtId="0" fontId="5" fillId="0" borderId="20" applyNumberFormat="0" applyFont="0" applyFill="0" applyAlignment="0" applyProtection="0"/>
    <xf numFmtId="0" fontId="41" fillId="0" borderId="0" applyNumberForma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0" fontId="4" fillId="0" borderId="0"/>
    <xf numFmtId="0" fontId="41" fillId="42" borderId="31" applyNumberFormat="0" applyAlignment="0" applyProtection="0"/>
    <xf numFmtId="0" fontId="13" fillId="0" borderId="0"/>
    <xf numFmtId="0" fontId="38"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43" fontId="96" fillId="0" borderId="0" applyFont="0" applyFill="0" applyBorder="0" applyAlignment="0" applyProtection="0"/>
    <xf numFmtId="0" fontId="12" fillId="0" borderId="0"/>
    <xf numFmtId="43" fontId="96" fillId="0" borderId="0" applyFont="0" applyFill="0" applyBorder="0" applyAlignment="0" applyProtection="0"/>
    <xf numFmtId="43" fontId="96"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43" fontId="96" fillId="0" borderId="0" applyFont="0" applyFill="0" applyBorder="0" applyAlignment="0" applyProtection="0"/>
    <xf numFmtId="167" fontId="96" fillId="0" borderId="0" applyFont="0" applyFill="0" applyBorder="0" applyAlignment="0" applyProtection="0"/>
    <xf numFmtId="43" fontId="96" fillId="0" borderId="0" applyFont="0" applyFill="0" applyBorder="0" applyAlignment="0" applyProtection="0"/>
    <xf numFmtId="0" fontId="4" fillId="0" borderId="0"/>
    <xf numFmtId="0" fontId="41" fillId="46" borderId="0" applyNumberFormat="0" applyBorder="0" applyAlignment="0" applyProtection="0"/>
    <xf numFmtId="0" fontId="41" fillId="0" borderId="28" applyNumberFormat="0" applyFill="0" applyAlignment="0" applyProtection="0"/>
    <xf numFmtId="0" fontId="41" fillId="29" borderId="21" applyNumberFormat="0" applyAlignment="0" applyProtection="0"/>
    <xf numFmtId="0" fontId="4" fillId="0" borderId="0"/>
    <xf numFmtId="0" fontId="41" fillId="0" borderId="0" applyNumberFormat="0" applyFill="0" applyBorder="0" applyAlignment="0" applyProtection="0"/>
    <xf numFmtId="0" fontId="41" fillId="0" borderId="25" applyNumberFormat="0" applyFill="0" applyAlignment="0" applyProtection="0"/>
    <xf numFmtId="0" fontId="56" fillId="0" borderId="0" applyNumberFormat="0" applyFill="0" applyBorder="0" applyAlignment="0" applyProtection="0"/>
    <xf numFmtId="0" fontId="41" fillId="0" borderId="0" applyNumberFormat="0" applyFill="0" applyBorder="0" applyAlignment="0" applyProtection="0"/>
    <xf numFmtId="0" fontId="41" fillId="26" borderId="0" applyNumberFormat="0" applyBorder="0" applyAlignment="0" applyProtection="0"/>
    <xf numFmtId="0" fontId="41" fillId="0" borderId="0" applyNumberFormat="0" applyFill="0" applyBorder="0" applyAlignment="0" applyProtection="0"/>
    <xf numFmtId="0" fontId="41" fillId="43" borderId="22" applyNumberFormat="0" applyAlignment="0" applyProtection="0"/>
    <xf numFmtId="0" fontId="4" fillId="0" borderId="0"/>
    <xf numFmtId="0" fontId="5" fillId="0" borderId="0"/>
    <xf numFmtId="0" fontId="41" fillId="42" borderId="21" applyNumberFormat="0" applyAlignment="0" applyProtection="0"/>
    <xf numFmtId="0" fontId="41" fillId="25" borderId="0" applyNumberFormat="0" applyBorder="0" applyAlignment="0" applyProtection="0"/>
    <xf numFmtId="0" fontId="41" fillId="41" borderId="0" applyNumberFormat="0" applyBorder="0" applyAlignment="0" applyProtection="0"/>
    <xf numFmtId="0" fontId="41" fillId="36" borderId="0" applyNumberFormat="0" applyBorder="0" applyAlignment="0" applyProtection="0"/>
    <xf numFmtId="0" fontId="41" fillId="40" borderId="0" applyNumberFormat="0" applyBorder="0" applyAlignment="0" applyProtection="0"/>
    <xf numFmtId="0" fontId="41" fillId="39" borderId="0" applyNumberFormat="0" applyBorder="0" applyAlignment="0" applyProtection="0"/>
    <xf numFmtId="0" fontId="41" fillId="38" borderId="0" applyNumberFormat="0" applyBorder="0" applyAlignment="0" applyProtection="0"/>
    <xf numFmtId="0" fontId="41" fillId="37" borderId="0" applyNumberFormat="0" applyBorder="0" applyAlignment="0" applyProtection="0"/>
    <xf numFmtId="0" fontId="41" fillId="36" borderId="0" applyNumberFormat="0" applyBorder="0" applyAlignment="0" applyProtection="0"/>
    <xf numFmtId="0" fontId="41" fillId="35" borderId="0" applyNumberFormat="0" applyBorder="0" applyAlignment="0" applyProtection="0"/>
    <xf numFmtId="0" fontId="41" fillId="31" borderId="0" applyNumberFormat="0" applyBorder="0" applyAlignment="0" applyProtection="0"/>
    <xf numFmtId="0" fontId="41" fillId="34" borderId="0" applyNumberFormat="0" applyBorder="0" applyAlignment="0" applyProtection="0"/>
    <xf numFmtId="0" fontId="41" fillId="33" borderId="0" applyNumberFormat="0" applyBorder="0" applyAlignment="0" applyProtection="0"/>
    <xf numFmtId="0" fontId="41" fillId="30" borderId="0" applyNumberFormat="0" applyBorder="0" applyAlignment="0" applyProtection="0"/>
    <xf numFmtId="0" fontId="41" fillId="27" borderId="0" applyNumberFormat="0" applyBorder="0" applyAlignment="0" applyProtection="0"/>
    <xf numFmtId="0" fontId="41" fillId="32" borderId="0" applyNumberFormat="0" applyBorder="0" applyAlignment="0" applyProtection="0"/>
    <xf numFmtId="0" fontId="4" fillId="0" borderId="0"/>
    <xf numFmtId="0" fontId="41" fillId="31" borderId="0" applyNumberFormat="0" applyBorder="0" applyAlignment="0" applyProtection="0"/>
    <xf numFmtId="0" fontId="41" fillId="29" borderId="0" applyNumberFormat="0" applyBorder="0" applyAlignment="0" applyProtection="0"/>
    <xf numFmtId="0" fontId="41" fillId="28" borderId="0" applyNumberFormat="0" applyBorder="0" applyAlignment="0" applyProtection="0"/>
    <xf numFmtId="0" fontId="41" fillId="27" borderId="0" applyNumberFormat="0" applyBorder="0" applyAlignment="0" applyProtection="0"/>
    <xf numFmtId="0" fontId="41" fillId="26" borderId="0" applyNumberFormat="0" applyBorder="0" applyAlignment="0" applyProtection="0"/>
    <xf numFmtId="0" fontId="41" fillId="25" borderId="0" applyNumberFormat="0" applyBorder="0" applyAlignment="0" applyProtection="0"/>
    <xf numFmtId="0" fontId="41" fillId="24" borderId="0" applyNumberFormat="0" applyBorder="0" applyAlignment="0" applyProtection="0"/>
    <xf numFmtId="0" fontId="4" fillId="0" borderId="0"/>
    <xf numFmtId="0" fontId="4" fillId="0" borderId="0"/>
    <xf numFmtId="9" fontId="97" fillId="0" borderId="0" applyFont="0" applyFill="0" applyBorder="0" applyAlignment="0" applyProtection="0"/>
    <xf numFmtId="0" fontId="4" fillId="0" borderId="0"/>
    <xf numFmtId="0" fontId="4" fillId="0" borderId="0"/>
    <xf numFmtId="0" fontId="4" fillId="0" borderId="0"/>
    <xf numFmtId="0" fontId="4" fillId="0" borderId="0"/>
    <xf numFmtId="0" fontId="36" fillId="0" borderId="0"/>
    <xf numFmtId="0" fontId="4" fillId="0" borderId="0"/>
    <xf numFmtId="9" fontId="5" fillId="0" borderId="0" applyFont="0" applyFill="0" applyBorder="0" applyAlignment="0" applyProtection="0"/>
    <xf numFmtId="0" fontId="93" fillId="0" borderId="0" applyAlignment="0"/>
    <xf numFmtId="0" fontId="12" fillId="72" borderId="0" applyAlignment="0"/>
    <xf numFmtId="0" fontId="92" fillId="6" borderId="12" applyAlignment="0"/>
    <xf numFmtId="0" fontId="79" fillId="0" borderId="0" applyAlignment="0"/>
    <xf numFmtId="0" fontId="91" fillId="4" borderId="0" applyAlignment="0"/>
    <xf numFmtId="0" fontId="80" fillId="19" borderId="0" applyAlignment="0"/>
    <xf numFmtId="0" fontId="89" fillId="5" borderId="11" applyAlignment="0"/>
    <xf numFmtId="0" fontId="94" fillId="0" borderId="16" applyAlignment="0"/>
    <xf numFmtId="0" fontId="12" fillId="71" borderId="0" applyAlignment="0"/>
    <xf numFmtId="0" fontId="12" fillId="12" borderId="0" applyAlignment="0"/>
    <xf numFmtId="0" fontId="94" fillId="0" borderId="16" applyAlignment="0"/>
    <xf numFmtId="0" fontId="80" fillId="76" borderId="0" applyAlignment="0"/>
    <xf numFmtId="0" fontId="95" fillId="0" borderId="0" applyAlignment="0"/>
    <xf numFmtId="0" fontId="84" fillId="0" borderId="0" applyAlignment="0"/>
    <xf numFmtId="0" fontId="12" fillId="18" borderId="0" applyAlignment="0"/>
    <xf numFmtId="0" fontId="12" fillId="0" borderId="0" applyAlignment="0"/>
    <xf numFmtId="0" fontId="12" fillId="8" borderId="15" applyAlignment="0"/>
    <xf numFmtId="0" fontId="12" fillId="8" borderId="15" applyAlignment="0"/>
    <xf numFmtId="0" fontId="12" fillId="20" borderId="0" applyAlignment="0"/>
    <xf numFmtId="0" fontId="82" fillId="6" borderId="11" applyAlignment="0"/>
    <xf numFmtId="0" fontId="85" fillId="2" borderId="0" applyAlignment="0"/>
    <xf numFmtId="0" fontId="86" fillId="0" borderId="9" applyAlignment="0"/>
    <xf numFmtId="0" fontId="87" fillId="0" borderId="10" applyAlignment="0"/>
    <xf numFmtId="0" fontId="90" fillId="0" borderId="13" applyAlignment="0"/>
    <xf numFmtId="0" fontId="81" fillId="3" borderId="0" applyAlignment="0"/>
    <xf numFmtId="0" fontId="80" fillId="17" borderId="0" applyAlignment="0"/>
    <xf numFmtId="0" fontId="80" fillId="13" borderId="0" applyAlignment="0"/>
    <xf numFmtId="0" fontId="80" fillId="78" borderId="0" applyAlignment="0"/>
    <xf numFmtId="0" fontId="12" fillId="68" borderId="0" applyAlignment="0"/>
    <xf numFmtId="0" fontId="12" fillId="70" borderId="0" applyAlignment="0"/>
    <xf numFmtId="0" fontId="12" fillId="69" borderId="0" applyAlignment="0"/>
    <xf numFmtId="0" fontId="80" fillId="11" borderId="0" applyAlignment="0"/>
    <xf numFmtId="0" fontId="12" fillId="16" borderId="0" applyAlignment="0"/>
    <xf numFmtId="0" fontId="80" fillId="73" borderId="0" applyAlignment="0"/>
    <xf numFmtId="0" fontId="12" fillId="10" borderId="0" applyAlignment="0"/>
    <xf numFmtId="0" fontId="83" fillId="7" borderId="14" applyAlignment="0"/>
    <xf numFmtId="0" fontId="12" fillId="14" borderId="0" applyAlignment="0"/>
    <xf numFmtId="0" fontId="88" fillId="0" borderId="0" applyAlignment="0"/>
    <xf numFmtId="0" fontId="80" fillId="74" borderId="0" applyAlignment="0"/>
    <xf numFmtId="0" fontId="80" fillId="9" borderId="0" applyAlignment="0"/>
    <xf numFmtId="0" fontId="80" fillId="15" borderId="0" applyAlignment="0"/>
    <xf numFmtId="0" fontId="80" fillId="77" borderId="0" applyAlignment="0"/>
    <xf numFmtId="0" fontId="93" fillId="0" borderId="0" applyAlignment="0"/>
    <xf numFmtId="0" fontId="12" fillId="67" borderId="0" applyAlignment="0"/>
    <xf numFmtId="0" fontId="92" fillId="6" borderId="12" applyAlignment="0"/>
    <xf numFmtId="0" fontId="95" fillId="0" borderId="0" applyAlignment="0"/>
    <xf numFmtId="0" fontId="88" fillId="0" borderId="40" applyAlignment="0"/>
    <xf numFmtId="0" fontId="80" fillId="75" borderId="0" applyAlignment="0"/>
    <xf numFmtId="43" fontId="12" fillId="0" borderId="0" applyFont="0" applyFill="0" applyBorder="0" applyAlignment="0" applyProtection="0"/>
    <xf numFmtId="43" fontId="12" fillId="0" borderId="0" applyFont="0" applyFill="0" applyBorder="0" applyAlignment="0" applyProtection="0"/>
    <xf numFmtId="0" fontId="18" fillId="0" borderId="0" applyNumberFormat="0" applyFill="0" applyBorder="0" applyProtection="0">
      <alignment vertical="top"/>
    </xf>
    <xf numFmtId="0" fontId="17" fillId="0" borderId="0" applyNumberFormat="0" applyFill="0" applyBorder="0" applyProtection="0">
      <alignment vertical="top"/>
    </xf>
    <xf numFmtId="43" fontId="96" fillId="0" borderId="0" applyFont="0" applyFill="0" applyBorder="0" applyAlignment="0" applyProtection="0"/>
    <xf numFmtId="0" fontId="5" fillId="0" borderId="0"/>
    <xf numFmtId="0" fontId="4" fillId="0" borderId="0"/>
    <xf numFmtId="0" fontId="38" fillId="0" borderId="0"/>
    <xf numFmtId="165" fontId="97" fillId="0" borderId="0" applyFont="0" applyFill="0" applyBorder="0" applyAlignment="0" applyProtection="0"/>
    <xf numFmtId="0" fontId="41" fillId="35" borderId="0" applyNumberFormat="0" applyBorder="0" applyAlignment="0" applyProtection="0"/>
    <xf numFmtId="0" fontId="41" fillId="32" borderId="0" applyNumberFormat="0" applyBorder="0" applyAlignment="0" applyProtection="0"/>
    <xf numFmtId="0" fontId="31" fillId="0" borderId="0"/>
    <xf numFmtId="0" fontId="38" fillId="47" borderId="30" applyNumberFormat="0" applyFont="0" applyAlignment="0" applyProtection="0"/>
    <xf numFmtId="43" fontId="96" fillId="0" borderId="0" applyFont="0" applyFill="0" applyBorder="0" applyAlignment="0" applyProtection="0"/>
    <xf numFmtId="165" fontId="97" fillId="0" borderId="0" applyFont="0" applyFill="0" applyBorder="0" applyAlignment="0" applyProtection="0"/>
    <xf numFmtId="0" fontId="41" fillId="30" borderId="0" applyNumberFormat="0" applyBorder="0" applyAlignment="0" applyProtection="0"/>
    <xf numFmtId="0" fontId="31" fillId="0" borderId="0"/>
    <xf numFmtId="0" fontId="5" fillId="0" borderId="0"/>
    <xf numFmtId="0" fontId="41" fillId="0" borderId="0" applyNumberFormat="0" applyFill="0" applyBorder="0" applyAlignment="0" applyProtection="0"/>
    <xf numFmtId="9" fontId="97" fillId="0" borderId="0" applyFont="0" applyFill="0" applyBorder="0" applyAlignment="0" applyProtection="0"/>
    <xf numFmtId="0" fontId="4" fillId="0" borderId="0"/>
    <xf numFmtId="165" fontId="97"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43" fontId="96" fillId="0" borderId="0" applyFont="0" applyFill="0" applyBorder="0" applyAlignment="0" applyProtection="0"/>
    <xf numFmtId="0" fontId="4" fillId="0" borderId="0"/>
    <xf numFmtId="0" fontId="4" fillId="0" borderId="0"/>
    <xf numFmtId="9" fontId="5" fillId="0" borderId="0" applyFont="0" applyFill="0" applyBorder="0" applyAlignment="0" applyProtection="0"/>
    <xf numFmtId="0" fontId="4" fillId="0" borderId="0"/>
    <xf numFmtId="9" fontId="5" fillId="0" borderId="0" applyFont="0" applyFill="0" applyBorder="0" applyAlignment="0" applyProtection="0"/>
    <xf numFmtId="0" fontId="4"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4"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4" fillId="0" borderId="0"/>
    <xf numFmtId="9" fontId="5" fillId="0" borderId="0" applyFont="0" applyFill="0" applyBorder="0" applyAlignment="0" applyProtection="0"/>
    <xf numFmtId="9" fontId="5" fillId="0" borderId="0" applyFont="0" applyFill="0" applyBorder="0" applyAlignment="0" applyProtection="0"/>
    <xf numFmtId="0" fontId="4" fillId="0" borderId="0"/>
    <xf numFmtId="9" fontId="5" fillId="0" borderId="0" applyFont="0" applyFill="0" applyBorder="0" applyAlignment="0" applyProtection="0"/>
    <xf numFmtId="0" fontId="4" fillId="0" borderId="0"/>
    <xf numFmtId="9" fontId="5" fillId="0" borderId="0" applyFont="0" applyFill="0" applyBorder="0" applyAlignment="0" applyProtection="0"/>
    <xf numFmtId="0" fontId="5" fillId="0" borderId="0"/>
    <xf numFmtId="0" fontId="5" fillId="0" borderId="0"/>
    <xf numFmtId="0" fontId="4"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1" fillId="0" borderId="0"/>
    <xf numFmtId="0" fontId="4" fillId="0" borderId="0"/>
    <xf numFmtId="0" fontId="31" fillId="0" borderId="0"/>
    <xf numFmtId="0" fontId="31" fillId="0" borderId="0"/>
    <xf numFmtId="0" fontId="31" fillId="0" borderId="0"/>
    <xf numFmtId="0" fontId="31" fillId="0" borderId="0"/>
    <xf numFmtId="0" fontId="4" fillId="0" borderId="0"/>
    <xf numFmtId="0" fontId="31" fillId="0" borderId="0"/>
    <xf numFmtId="0" fontId="4" fillId="0" borderId="0"/>
    <xf numFmtId="0" fontId="31" fillId="0" borderId="0"/>
    <xf numFmtId="0" fontId="4" fillId="0" borderId="0"/>
    <xf numFmtId="0" fontId="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 fillId="0" borderId="0"/>
    <xf numFmtId="0" fontId="31" fillId="0" borderId="0"/>
    <xf numFmtId="0" fontId="31" fillId="0" borderId="0"/>
    <xf numFmtId="0" fontId="31" fillId="0" borderId="0"/>
    <xf numFmtId="0" fontId="31" fillId="0" borderId="0"/>
    <xf numFmtId="0" fontId="4" fillId="0" borderId="0"/>
    <xf numFmtId="0" fontId="31" fillId="0" borderId="0"/>
    <xf numFmtId="0" fontId="4" fillId="0" borderId="0"/>
    <xf numFmtId="0" fontId="4" fillId="0" borderId="0"/>
    <xf numFmtId="0" fontId="3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7" fontId="12" fillId="0" borderId="0" applyFont="0" applyFill="0" applyBorder="0" applyAlignment="0" applyProtection="0"/>
    <xf numFmtId="167" fontId="12" fillId="0" borderId="0" applyFont="0" applyFill="0" applyBorder="0" applyAlignment="0" applyProtection="0"/>
    <xf numFmtId="43" fontId="12" fillId="0" borderId="0" applyFont="0" applyFill="0" applyBorder="0" applyAlignment="0" applyProtection="0"/>
    <xf numFmtId="165" fontId="3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5" fontId="97"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167" fontId="96" fillId="0" borderId="0" applyFont="0" applyFill="0" applyBorder="0" applyAlignment="0" applyProtection="0"/>
    <xf numFmtId="167" fontId="96" fillId="0" borderId="0" applyFont="0" applyFill="0" applyBorder="0" applyAlignment="0" applyProtection="0"/>
    <xf numFmtId="43" fontId="96" fillId="0" borderId="0" applyFont="0" applyFill="0" applyBorder="0" applyAlignment="0" applyProtection="0"/>
    <xf numFmtId="0" fontId="109" fillId="0" borderId="0" applyNumberFormat="0" applyFill="0" applyBorder="0" applyProtection="0">
      <alignment vertical="top"/>
    </xf>
    <xf numFmtId="0" fontId="109" fillId="0" borderId="0" applyNumberFormat="0" applyFill="0" applyBorder="0" applyProtection="0">
      <alignment vertical="top"/>
    </xf>
    <xf numFmtId="9" fontId="97" fillId="0" borderId="0" applyFont="0" applyFill="0" applyBorder="0" applyAlignment="0" applyProtection="0"/>
    <xf numFmtId="9" fontId="97" fillId="0" borderId="0" applyFont="0" applyFill="0" applyBorder="0" applyAlignment="0" applyProtection="0"/>
    <xf numFmtId="0" fontId="17" fillId="0" borderId="0" applyNumberFormat="0" applyFill="0" applyBorder="0" applyProtection="0">
      <alignment vertical="top"/>
    </xf>
    <xf numFmtId="0" fontId="17" fillId="0" borderId="0" applyNumberFormat="0" applyFill="0" applyBorder="0" applyProtection="0">
      <alignment vertical="top"/>
    </xf>
    <xf numFmtId="0" fontId="110"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17" fillId="0" borderId="0" applyNumberFormat="0" applyFill="0" applyBorder="0" applyProtection="0">
      <alignment vertical="top"/>
    </xf>
    <xf numFmtId="0" fontId="5" fillId="0" borderId="0"/>
    <xf numFmtId="0" fontId="5" fillId="0" borderId="0"/>
    <xf numFmtId="0" fontId="5" fillId="0" borderId="0"/>
    <xf numFmtId="0" fontId="4" fillId="0" borderId="0"/>
    <xf numFmtId="9" fontId="5" fillId="0" borderId="0" applyFont="0" applyFill="0" applyBorder="0" applyAlignment="0" applyProtection="0"/>
    <xf numFmtId="0" fontId="122" fillId="0" borderId="0"/>
    <xf numFmtId="0" fontId="5" fillId="0" borderId="0"/>
    <xf numFmtId="0" fontId="13" fillId="0" borderId="0" applyNumberFormat="0" applyFill="0" applyBorder="0" applyAlignment="0" applyProtection="0"/>
    <xf numFmtId="0" fontId="13" fillId="0" borderId="0" applyProtection="0"/>
    <xf numFmtId="0" fontId="124" fillId="0" borderId="0"/>
    <xf numFmtId="0" fontId="124" fillId="0" borderId="0"/>
    <xf numFmtId="169" fontId="125" fillId="0" borderId="18" applyFont="0" applyBorder="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26" fillId="0" borderId="0" applyFont="0" applyFill="0" applyBorder="0" applyAlignment="0" applyProtection="0"/>
    <xf numFmtId="233" fontId="50" fillId="0" borderId="0" applyFont="0" applyFill="0" applyBorder="0" applyAlignment="0" applyProtection="0"/>
    <xf numFmtId="0" fontId="127" fillId="0" borderId="0" applyFont="0" applyFill="0" applyBorder="0" applyAlignment="0" applyProtection="0"/>
    <xf numFmtId="0" fontId="5" fillId="0" borderId="0" applyProtection="0"/>
    <xf numFmtId="0" fontId="64" fillId="0" borderId="0"/>
    <xf numFmtId="0" fontId="5" fillId="0" borderId="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Protection="0"/>
    <xf numFmtId="0" fontId="56" fillId="0" borderId="0" applyNumberFormat="0" applyFill="0" applyBorder="0" applyProtection="0">
      <alignment vertical="center"/>
    </xf>
    <xf numFmtId="178" fontId="13" fillId="0" borderId="0" applyFont="0" applyFill="0" applyBorder="0" applyAlignment="0" applyProtection="0"/>
    <xf numFmtId="172" fontId="40" fillId="0" borderId="0" applyFon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234" fontId="43" fillId="0" borderId="0" applyFont="0" applyFill="0" applyBorder="0" applyAlignment="0" applyProtection="0"/>
    <xf numFmtId="42" fontId="43" fillId="0" borderId="0" applyFon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44" fillId="0" borderId="0"/>
    <xf numFmtId="42" fontId="43" fillId="0" borderId="0" applyFont="0" applyFill="0" applyBorder="0" applyAlignment="0" applyProtection="0"/>
    <xf numFmtId="234" fontId="43" fillId="0" borderId="0" applyFont="0" applyFill="0" applyBorder="0" applyAlignment="0" applyProtection="0"/>
    <xf numFmtId="0" fontId="44" fillId="0" borderId="0"/>
    <xf numFmtId="42" fontId="43" fillId="0" borderId="0" applyFont="0" applyFill="0" applyBorder="0" applyAlignment="0" applyProtection="0"/>
    <xf numFmtId="0" fontId="54" fillId="0" borderId="0">
      <alignment vertical="top"/>
    </xf>
    <xf numFmtId="0" fontId="128" fillId="0" borderId="0">
      <alignment vertical="top"/>
    </xf>
    <xf numFmtId="0" fontId="128" fillId="0" borderId="0">
      <alignment vertical="top"/>
    </xf>
    <xf numFmtId="0" fontId="50" fillId="0" borderId="0" applyNumberFormat="0" applyFill="0" applyBorder="0" applyAlignment="0" applyProtection="0"/>
    <xf numFmtId="42" fontId="43" fillId="0" borderId="0" applyFont="0" applyFill="0" applyBorder="0" applyAlignment="0" applyProtection="0"/>
    <xf numFmtId="235" fontId="43" fillId="0" borderId="0" applyFont="0" applyFill="0" applyBorder="0" applyAlignment="0" applyProtection="0"/>
    <xf numFmtId="236" fontId="43" fillId="0" borderId="0" applyFont="0" applyFill="0" applyBorder="0" applyAlignment="0" applyProtection="0"/>
    <xf numFmtId="236" fontId="43" fillId="0" borderId="0" applyFont="0" applyFill="0" applyBorder="0" applyAlignment="0" applyProtection="0"/>
    <xf numFmtId="236" fontId="43" fillId="0" borderId="0" applyFont="0" applyFill="0" applyBorder="0" applyAlignment="0" applyProtection="0"/>
    <xf numFmtId="237" fontId="43" fillId="0" borderId="0" applyFon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42" fontId="43" fillId="0" borderId="0" applyFont="0" applyFill="0" applyBorder="0" applyAlignment="0" applyProtection="0"/>
    <xf numFmtId="0" fontId="50" fillId="0" borderId="0" applyNumberFormat="0" applyFill="0" applyBorder="0" applyAlignment="0" applyProtection="0"/>
    <xf numFmtId="234" fontId="43" fillId="0" borderId="0" applyFont="0" applyFill="0" applyBorder="0" applyAlignment="0" applyProtection="0"/>
    <xf numFmtId="0" fontId="44" fillId="0" borderId="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44" fillId="0" borderId="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44" fillId="0" borderId="0"/>
    <xf numFmtId="0" fontId="44" fillId="0" borderId="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237" fontId="43" fillId="0" borderId="0" applyFont="0" applyFill="0" applyBorder="0" applyAlignment="0" applyProtection="0"/>
    <xf numFmtId="235"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42" fontId="43" fillId="0" borderId="0" applyFont="0" applyFill="0" applyBorder="0" applyAlignment="0" applyProtection="0"/>
    <xf numFmtId="237" fontId="43" fillId="0" borderId="0" applyFont="0" applyFill="0" applyBorder="0" applyAlignment="0" applyProtection="0"/>
    <xf numFmtId="172" fontId="40" fillId="0" borderId="0" applyFont="0" applyFill="0" applyBorder="0" applyAlignment="0" applyProtection="0"/>
    <xf numFmtId="235" fontId="43" fillId="0" borderId="0" applyFont="0" applyFill="0" applyBorder="0" applyAlignment="0" applyProtection="0"/>
    <xf numFmtId="42" fontId="43" fillId="0" borderId="0" applyFont="0" applyFill="0" applyBorder="0" applyAlignment="0" applyProtection="0"/>
    <xf numFmtId="238"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238"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239" fontId="40" fillId="0" borderId="0" applyFont="0" applyFill="0" applyBorder="0" applyAlignment="0" applyProtection="0"/>
    <xf numFmtId="167" fontId="43" fillId="0" borderId="0" applyFont="0" applyFill="0" applyBorder="0" applyAlignment="0" applyProtection="0"/>
    <xf numFmtId="43" fontId="43" fillId="0" borderId="0" applyFont="0" applyFill="0" applyBorder="0" applyAlignment="0" applyProtection="0"/>
    <xf numFmtId="179" fontId="43" fillId="0" borderId="0" applyFont="0" applyFill="0" applyBorder="0" applyAlignment="0" applyProtection="0"/>
    <xf numFmtId="191" fontId="43" fillId="0" borderId="0" applyFont="0" applyFill="0" applyBorder="0" applyAlignment="0" applyProtection="0"/>
    <xf numFmtId="168" fontId="43" fillId="0" borderId="0" applyFont="0" applyFill="0" applyBorder="0" applyAlignment="0" applyProtection="0"/>
    <xf numFmtId="182" fontId="43" fillId="0" borderId="0" applyFont="0" applyFill="0" applyBorder="0" applyAlignment="0" applyProtection="0"/>
    <xf numFmtId="168" fontId="43" fillId="0" borderId="0" applyFont="0" applyFill="0" applyBorder="0" applyAlignment="0" applyProtection="0"/>
    <xf numFmtId="240" fontId="43" fillId="0" borderId="0" applyFont="0" applyFill="0" applyBorder="0" applyAlignment="0" applyProtection="0"/>
    <xf numFmtId="43" fontId="43" fillId="0" borderId="0" applyFont="0" applyFill="0" applyBorder="0" applyAlignment="0" applyProtection="0"/>
    <xf numFmtId="179" fontId="43" fillId="0" borderId="0" applyFont="0" applyFill="0" applyBorder="0" applyAlignment="0" applyProtection="0"/>
    <xf numFmtId="179" fontId="43" fillId="0" borderId="0" applyFont="0" applyFill="0" applyBorder="0" applyAlignment="0" applyProtection="0"/>
    <xf numFmtId="179" fontId="43" fillId="0" borderId="0" applyFont="0" applyFill="0" applyBorder="0" applyAlignment="0" applyProtection="0"/>
    <xf numFmtId="43" fontId="43" fillId="0" borderId="0" applyFont="0" applyFill="0" applyBorder="0" applyAlignment="0" applyProtection="0"/>
    <xf numFmtId="182" fontId="43" fillId="0" borderId="0" applyFont="0" applyFill="0" applyBorder="0" applyAlignment="0" applyProtection="0"/>
    <xf numFmtId="2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68" fontId="43" fillId="0" borderId="0" applyFont="0" applyFill="0" applyBorder="0" applyAlignment="0" applyProtection="0"/>
    <xf numFmtId="191"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79" fontId="43" fillId="0" borderId="0" applyFont="0" applyFill="0" applyBorder="0" applyAlignment="0" applyProtection="0"/>
    <xf numFmtId="165" fontId="43" fillId="0" borderId="0" applyFont="0" applyFill="0" applyBorder="0" applyAlignment="0" applyProtection="0"/>
    <xf numFmtId="182" fontId="43" fillId="0" borderId="0" applyFont="0" applyFill="0" applyBorder="0" applyAlignment="0" applyProtection="0"/>
    <xf numFmtId="0" fontId="43" fillId="0" borderId="0" applyFont="0" applyFill="0" applyBorder="0" applyAlignment="0" applyProtection="0"/>
    <xf numFmtId="179" fontId="43" fillId="0" borderId="0" applyFont="0" applyFill="0" applyBorder="0" applyAlignment="0" applyProtection="0"/>
    <xf numFmtId="179" fontId="43" fillId="0" borderId="0" applyFont="0" applyFill="0" applyBorder="0" applyAlignment="0" applyProtection="0"/>
    <xf numFmtId="179" fontId="43" fillId="0" borderId="0" applyFont="0" applyFill="0" applyBorder="0" applyAlignment="0" applyProtection="0"/>
    <xf numFmtId="240"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241"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79"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79" fontId="43" fillId="0" borderId="0" applyFont="0" applyFill="0" applyBorder="0" applyAlignment="0" applyProtection="0"/>
    <xf numFmtId="43" fontId="43" fillId="0" borderId="0" applyFont="0" applyFill="0" applyBorder="0" applyAlignment="0" applyProtection="0"/>
    <xf numFmtId="182" fontId="43" fillId="0" borderId="0" applyFont="0" applyFill="0" applyBorder="0" applyAlignment="0" applyProtection="0"/>
    <xf numFmtId="179" fontId="43" fillId="0" borderId="0" applyFont="0" applyFill="0" applyBorder="0" applyAlignment="0" applyProtection="0"/>
    <xf numFmtId="43" fontId="43" fillId="0" borderId="0" applyFont="0" applyFill="0" applyBorder="0" applyAlignment="0" applyProtection="0"/>
    <xf numFmtId="182" fontId="43" fillId="0" borderId="0" applyFont="0" applyFill="0" applyBorder="0" applyAlignment="0" applyProtection="0"/>
    <xf numFmtId="241" fontId="43" fillId="0" borderId="0" applyFont="0" applyFill="0" applyBorder="0" applyAlignment="0" applyProtection="0"/>
    <xf numFmtId="179" fontId="43" fillId="0" borderId="0" applyFont="0" applyFill="0" applyBorder="0" applyAlignment="0" applyProtection="0"/>
    <xf numFmtId="165" fontId="43" fillId="0" borderId="0" applyFont="0" applyFill="0" applyBorder="0" applyAlignment="0" applyProtection="0"/>
    <xf numFmtId="241" fontId="43" fillId="0" borderId="0" applyFont="0" applyFill="0" applyBorder="0" applyAlignment="0" applyProtection="0"/>
    <xf numFmtId="240" fontId="43" fillId="0" borderId="0" applyFont="0" applyFill="0" applyBorder="0" applyAlignment="0" applyProtection="0"/>
    <xf numFmtId="43"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43" fontId="43" fillId="0" borderId="0" applyFont="0" applyFill="0" applyBorder="0" applyAlignment="0" applyProtection="0"/>
    <xf numFmtId="241" fontId="43" fillId="0" borderId="0" applyFont="0" applyFill="0" applyBorder="0" applyAlignment="0" applyProtection="0"/>
    <xf numFmtId="179" fontId="43" fillId="0" borderId="0" applyFont="0" applyFill="0" applyBorder="0" applyAlignment="0" applyProtection="0"/>
    <xf numFmtId="168" fontId="43" fillId="0" borderId="0" applyFont="0" applyFill="0" applyBorder="0" applyAlignment="0" applyProtection="0"/>
    <xf numFmtId="168" fontId="43" fillId="0" borderId="0" applyFont="0" applyFill="0" applyBorder="0" applyAlignment="0" applyProtection="0"/>
    <xf numFmtId="182" fontId="43" fillId="0" borderId="0" applyFont="0" applyFill="0" applyBorder="0" applyAlignment="0" applyProtection="0"/>
    <xf numFmtId="168" fontId="43" fillId="0" borderId="0" applyFont="0" applyFill="0" applyBorder="0" applyAlignment="0" applyProtection="0"/>
    <xf numFmtId="182" fontId="43" fillId="0" borderId="0" applyFont="0" applyFill="0" applyBorder="0" applyAlignment="0" applyProtection="0"/>
    <xf numFmtId="43" fontId="43" fillId="0" borderId="0" applyFont="0" applyFill="0" applyBorder="0" applyAlignment="0" applyProtection="0"/>
    <xf numFmtId="242" fontId="43" fillId="0" borderId="0" applyFont="0" applyFill="0" applyBorder="0" applyAlignment="0" applyProtection="0"/>
    <xf numFmtId="243" fontId="43" fillId="0" borderId="0" applyFont="0" applyFill="0" applyBorder="0" applyAlignment="0" applyProtection="0"/>
    <xf numFmtId="2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82" fontId="43" fillId="0" borderId="0" applyFont="0" applyFill="0" applyBorder="0" applyAlignment="0" applyProtection="0"/>
    <xf numFmtId="240" fontId="43" fillId="0" borderId="0" applyFont="0" applyFill="0" applyBorder="0" applyAlignment="0" applyProtection="0"/>
    <xf numFmtId="235" fontId="43" fillId="0" borderId="0" applyFont="0" applyFill="0" applyBorder="0" applyAlignment="0" applyProtection="0"/>
    <xf numFmtId="42" fontId="43" fillId="0" borderId="0" applyFont="0" applyFill="0" applyBorder="0" applyAlignment="0" applyProtection="0"/>
    <xf numFmtId="234"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237"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237" fontId="43" fillId="0" borderId="0" applyFont="0" applyFill="0" applyBorder="0" applyAlignment="0" applyProtection="0"/>
    <xf numFmtId="184" fontId="40" fillId="0" borderId="0" applyFont="0" applyFill="0" applyBorder="0" applyAlignment="0" applyProtection="0"/>
    <xf numFmtId="235" fontId="43" fillId="0" borderId="0" applyFont="0" applyFill="0" applyBorder="0" applyAlignment="0" applyProtection="0"/>
    <xf numFmtId="236" fontId="43" fillId="0" borderId="0" applyFont="0" applyFill="0" applyBorder="0" applyAlignment="0" applyProtection="0"/>
    <xf numFmtId="236" fontId="43" fillId="0" borderId="0" applyFont="0" applyFill="0" applyBorder="0" applyAlignment="0" applyProtection="0"/>
    <xf numFmtId="236" fontId="43" fillId="0" borderId="0" applyFont="0" applyFill="0" applyBorder="0" applyAlignment="0" applyProtection="0"/>
    <xf numFmtId="237" fontId="43" fillId="0" borderId="0" applyFont="0" applyFill="0" applyBorder="0" applyAlignment="0" applyProtection="0"/>
    <xf numFmtId="234"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237"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237" fontId="43" fillId="0" borderId="0" applyFont="0" applyFill="0" applyBorder="0" applyAlignment="0" applyProtection="0"/>
    <xf numFmtId="234"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235"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237" fontId="43" fillId="0" borderId="0" applyFont="0" applyFill="0" applyBorder="0" applyAlignment="0" applyProtection="0"/>
    <xf numFmtId="183" fontId="43" fillId="0" borderId="0" applyFont="0" applyFill="0" applyBorder="0" applyAlignment="0" applyProtection="0"/>
    <xf numFmtId="183" fontId="43" fillId="0" borderId="0" applyFont="0" applyFill="0" applyBorder="0" applyAlignment="0" applyProtection="0"/>
    <xf numFmtId="183" fontId="43" fillId="0" borderId="0" applyFont="0" applyFill="0" applyBorder="0" applyAlignment="0" applyProtection="0"/>
    <xf numFmtId="183" fontId="43" fillId="0" borderId="0" applyFont="0" applyFill="0" applyBorder="0" applyAlignment="0" applyProtection="0"/>
    <xf numFmtId="244" fontId="129" fillId="0" borderId="0" applyFont="0" applyFill="0" applyBorder="0" applyAlignment="0" applyProtection="0"/>
    <xf numFmtId="245" fontId="43" fillId="0" borderId="0" applyFont="0" applyFill="0" applyBorder="0" applyAlignment="0" applyProtection="0"/>
    <xf numFmtId="183" fontId="43" fillId="0" borderId="0" applyFont="0" applyFill="0" applyBorder="0" applyAlignment="0" applyProtection="0"/>
    <xf numFmtId="183" fontId="43" fillId="0" borderId="0" applyFont="0" applyFill="0" applyBorder="0" applyAlignment="0" applyProtection="0"/>
    <xf numFmtId="183" fontId="43" fillId="0" borderId="0" applyFont="0" applyFill="0" applyBorder="0" applyAlignment="0" applyProtection="0"/>
    <xf numFmtId="183" fontId="43" fillId="0" borderId="0" applyFont="0" applyFill="0" applyBorder="0" applyAlignment="0" applyProtection="0"/>
    <xf numFmtId="246" fontId="43" fillId="0" borderId="0" applyFont="0" applyFill="0" applyBorder="0" applyAlignment="0" applyProtection="0"/>
    <xf numFmtId="237"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234" fontId="43" fillId="0" borderId="0" applyFont="0" applyFill="0" applyBorder="0" applyAlignment="0" applyProtection="0"/>
    <xf numFmtId="167" fontId="43" fillId="0" borderId="0" applyFont="0" applyFill="0" applyBorder="0" applyAlignment="0" applyProtection="0"/>
    <xf numFmtId="43" fontId="43" fillId="0" borderId="0" applyFont="0" applyFill="0" applyBorder="0" applyAlignment="0" applyProtection="0"/>
    <xf numFmtId="179" fontId="43" fillId="0" borderId="0" applyFont="0" applyFill="0" applyBorder="0" applyAlignment="0" applyProtection="0"/>
    <xf numFmtId="191" fontId="43" fillId="0" borderId="0" applyFont="0" applyFill="0" applyBorder="0" applyAlignment="0" applyProtection="0"/>
    <xf numFmtId="168" fontId="43" fillId="0" borderId="0" applyFont="0" applyFill="0" applyBorder="0" applyAlignment="0" applyProtection="0"/>
    <xf numFmtId="182" fontId="43" fillId="0" borderId="0" applyFont="0" applyFill="0" applyBorder="0" applyAlignment="0" applyProtection="0"/>
    <xf numFmtId="168" fontId="43" fillId="0" borderId="0" applyFont="0" applyFill="0" applyBorder="0" applyAlignment="0" applyProtection="0"/>
    <xf numFmtId="240" fontId="43" fillId="0" borderId="0" applyFont="0" applyFill="0" applyBorder="0" applyAlignment="0" applyProtection="0"/>
    <xf numFmtId="43" fontId="43" fillId="0" borderId="0" applyFont="0" applyFill="0" applyBorder="0" applyAlignment="0" applyProtection="0"/>
    <xf numFmtId="179" fontId="43" fillId="0" borderId="0" applyFont="0" applyFill="0" applyBorder="0" applyAlignment="0" applyProtection="0"/>
    <xf numFmtId="179" fontId="43" fillId="0" borderId="0" applyFont="0" applyFill="0" applyBorder="0" applyAlignment="0" applyProtection="0"/>
    <xf numFmtId="179" fontId="43" fillId="0" borderId="0" applyFont="0" applyFill="0" applyBorder="0" applyAlignment="0" applyProtection="0"/>
    <xf numFmtId="43" fontId="43" fillId="0" borderId="0" applyFont="0" applyFill="0" applyBorder="0" applyAlignment="0" applyProtection="0"/>
    <xf numFmtId="182" fontId="43" fillId="0" borderId="0" applyFont="0" applyFill="0" applyBorder="0" applyAlignment="0" applyProtection="0"/>
    <xf numFmtId="2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68" fontId="43" fillId="0" borderId="0" applyFont="0" applyFill="0" applyBorder="0" applyAlignment="0" applyProtection="0"/>
    <xf numFmtId="191"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79" fontId="43" fillId="0" borderId="0" applyFont="0" applyFill="0" applyBorder="0" applyAlignment="0" applyProtection="0"/>
    <xf numFmtId="165" fontId="43" fillId="0" borderId="0" applyFont="0" applyFill="0" applyBorder="0" applyAlignment="0" applyProtection="0"/>
    <xf numFmtId="182" fontId="43" fillId="0" borderId="0" applyFont="0" applyFill="0" applyBorder="0" applyAlignment="0" applyProtection="0"/>
    <xf numFmtId="0" fontId="43" fillId="0" borderId="0" applyFont="0" applyFill="0" applyBorder="0" applyAlignment="0" applyProtection="0"/>
    <xf numFmtId="179" fontId="43" fillId="0" borderId="0" applyFont="0" applyFill="0" applyBorder="0" applyAlignment="0" applyProtection="0"/>
    <xf numFmtId="179" fontId="43" fillId="0" borderId="0" applyFont="0" applyFill="0" applyBorder="0" applyAlignment="0" applyProtection="0"/>
    <xf numFmtId="179" fontId="43" fillId="0" borderId="0" applyFont="0" applyFill="0" applyBorder="0" applyAlignment="0" applyProtection="0"/>
    <xf numFmtId="240"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241"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79"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79" fontId="43" fillId="0" borderId="0" applyFont="0" applyFill="0" applyBorder="0" applyAlignment="0" applyProtection="0"/>
    <xf numFmtId="43" fontId="43" fillId="0" borderId="0" applyFont="0" applyFill="0" applyBorder="0" applyAlignment="0" applyProtection="0"/>
    <xf numFmtId="182" fontId="43" fillId="0" borderId="0" applyFont="0" applyFill="0" applyBorder="0" applyAlignment="0" applyProtection="0"/>
    <xf numFmtId="179" fontId="43" fillId="0" borderId="0" applyFont="0" applyFill="0" applyBorder="0" applyAlignment="0" applyProtection="0"/>
    <xf numFmtId="43" fontId="43" fillId="0" borderId="0" applyFont="0" applyFill="0" applyBorder="0" applyAlignment="0" applyProtection="0"/>
    <xf numFmtId="182" fontId="43" fillId="0" borderId="0" applyFont="0" applyFill="0" applyBorder="0" applyAlignment="0" applyProtection="0"/>
    <xf numFmtId="241" fontId="43" fillId="0" borderId="0" applyFont="0" applyFill="0" applyBorder="0" applyAlignment="0" applyProtection="0"/>
    <xf numFmtId="179" fontId="43" fillId="0" borderId="0" applyFont="0" applyFill="0" applyBorder="0" applyAlignment="0" applyProtection="0"/>
    <xf numFmtId="165" fontId="43" fillId="0" borderId="0" applyFont="0" applyFill="0" applyBorder="0" applyAlignment="0" applyProtection="0"/>
    <xf numFmtId="241" fontId="43" fillId="0" borderId="0" applyFont="0" applyFill="0" applyBorder="0" applyAlignment="0" applyProtection="0"/>
    <xf numFmtId="240" fontId="43" fillId="0" borderId="0" applyFont="0" applyFill="0" applyBorder="0" applyAlignment="0" applyProtection="0"/>
    <xf numFmtId="43"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43" fontId="43" fillId="0" borderId="0" applyFont="0" applyFill="0" applyBorder="0" applyAlignment="0" applyProtection="0"/>
    <xf numFmtId="241" fontId="43" fillId="0" borderId="0" applyFont="0" applyFill="0" applyBorder="0" applyAlignment="0" applyProtection="0"/>
    <xf numFmtId="179" fontId="43" fillId="0" borderId="0" applyFont="0" applyFill="0" applyBorder="0" applyAlignment="0" applyProtection="0"/>
    <xf numFmtId="168" fontId="43" fillId="0" borderId="0" applyFont="0" applyFill="0" applyBorder="0" applyAlignment="0" applyProtection="0"/>
    <xf numFmtId="168" fontId="43" fillId="0" borderId="0" applyFont="0" applyFill="0" applyBorder="0" applyAlignment="0" applyProtection="0"/>
    <xf numFmtId="182" fontId="43" fillId="0" borderId="0" applyFont="0" applyFill="0" applyBorder="0" applyAlignment="0" applyProtection="0"/>
    <xf numFmtId="168" fontId="43" fillId="0" borderId="0" applyFont="0" applyFill="0" applyBorder="0" applyAlignment="0" applyProtection="0"/>
    <xf numFmtId="182" fontId="43" fillId="0" borderId="0" applyFont="0" applyFill="0" applyBorder="0" applyAlignment="0" applyProtection="0"/>
    <xf numFmtId="43" fontId="43" fillId="0" borderId="0" applyFont="0" applyFill="0" applyBorder="0" applyAlignment="0" applyProtection="0"/>
    <xf numFmtId="242" fontId="43" fillId="0" borderId="0" applyFont="0" applyFill="0" applyBorder="0" applyAlignment="0" applyProtection="0"/>
    <xf numFmtId="243" fontId="43" fillId="0" borderId="0" applyFont="0" applyFill="0" applyBorder="0" applyAlignment="0" applyProtection="0"/>
    <xf numFmtId="2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82" fontId="43" fillId="0" borderId="0" applyFont="0" applyFill="0" applyBorder="0" applyAlignment="0" applyProtection="0"/>
    <xf numFmtId="240" fontId="43" fillId="0" borderId="0" applyFont="0" applyFill="0" applyBorder="0" applyAlignment="0" applyProtection="0"/>
    <xf numFmtId="247" fontId="43" fillId="0" borderId="0" applyFont="0" applyFill="0" applyBorder="0" applyAlignment="0" applyProtection="0"/>
    <xf numFmtId="41" fontId="43" fillId="0" borderId="0" applyFont="0" applyFill="0" applyBorder="0" applyAlignment="0" applyProtection="0"/>
    <xf numFmtId="178" fontId="43" fillId="0" borderId="0" applyFont="0" applyFill="0" applyBorder="0" applyAlignment="0" applyProtection="0"/>
    <xf numFmtId="190" fontId="43" fillId="0" borderId="0" applyFont="0" applyFill="0" applyBorder="0" applyAlignment="0" applyProtection="0"/>
    <xf numFmtId="248" fontId="43" fillId="0" borderId="0" applyFont="0" applyFill="0" applyBorder="0" applyAlignment="0" applyProtection="0"/>
    <xf numFmtId="181" fontId="43" fillId="0" borderId="0" applyFont="0" applyFill="0" applyBorder="0" applyAlignment="0" applyProtection="0"/>
    <xf numFmtId="248" fontId="43" fillId="0" borderId="0" applyFont="0" applyFill="0" applyBorder="0" applyAlignment="0" applyProtection="0"/>
    <xf numFmtId="249" fontId="43" fillId="0" borderId="0" applyFont="0" applyFill="0" applyBorder="0" applyAlignment="0" applyProtection="0"/>
    <xf numFmtId="41" fontId="43" fillId="0" borderId="0" applyFont="0" applyFill="0" applyBorder="0" applyAlignment="0" applyProtection="0"/>
    <xf numFmtId="178" fontId="43" fillId="0" borderId="0" applyFont="0" applyFill="0" applyBorder="0" applyAlignment="0" applyProtection="0"/>
    <xf numFmtId="178" fontId="43" fillId="0" borderId="0" applyFont="0" applyFill="0" applyBorder="0" applyAlignment="0" applyProtection="0"/>
    <xf numFmtId="178" fontId="43" fillId="0" borderId="0" applyFont="0" applyFill="0" applyBorder="0" applyAlignment="0" applyProtection="0"/>
    <xf numFmtId="41" fontId="43" fillId="0" borderId="0" applyFont="0" applyFill="0" applyBorder="0" applyAlignment="0" applyProtection="0"/>
    <xf numFmtId="181" fontId="43" fillId="0" borderId="0" applyFont="0" applyFill="0" applyBorder="0" applyAlignment="0" applyProtection="0"/>
    <xf numFmtId="250"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248" fontId="43" fillId="0" borderId="0" applyFont="0" applyFill="0" applyBorder="0" applyAlignment="0" applyProtection="0"/>
    <xf numFmtId="190"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78" fontId="43" fillId="0" borderId="0" applyFont="0" applyFill="0" applyBorder="0" applyAlignment="0" applyProtection="0"/>
    <xf numFmtId="164" fontId="43" fillId="0" borderId="0" applyFont="0" applyFill="0" applyBorder="0" applyAlignment="0" applyProtection="0"/>
    <xf numFmtId="181" fontId="43" fillId="0" borderId="0" applyFont="0" applyFill="0" applyBorder="0" applyAlignment="0" applyProtection="0"/>
    <xf numFmtId="181" fontId="40" fillId="0" borderId="0" applyFont="0" applyFill="0" applyBorder="0" applyAlignment="0" applyProtection="0"/>
    <xf numFmtId="178" fontId="43" fillId="0" borderId="0" applyFont="0" applyFill="0" applyBorder="0" applyAlignment="0" applyProtection="0"/>
    <xf numFmtId="178" fontId="43" fillId="0" borderId="0" applyFont="0" applyFill="0" applyBorder="0" applyAlignment="0" applyProtection="0"/>
    <xf numFmtId="178" fontId="43" fillId="0" borderId="0" applyFont="0" applyFill="0" applyBorder="0" applyAlignment="0" applyProtection="0"/>
    <xf numFmtId="249" fontId="43" fillId="0" borderId="0" applyFont="0" applyFill="0" applyBorder="0" applyAlignment="0" applyProtection="0"/>
    <xf numFmtId="181" fontId="43" fillId="0" borderId="0" applyFont="0" applyFill="0" applyBorder="0" applyAlignment="0" applyProtection="0"/>
    <xf numFmtId="251" fontId="43" fillId="0" borderId="0" applyFont="0" applyFill="0" applyBorder="0" applyAlignment="0" applyProtection="0"/>
    <xf numFmtId="181" fontId="43" fillId="0" borderId="0" applyFont="0" applyFill="0" applyBorder="0" applyAlignment="0" applyProtection="0"/>
    <xf numFmtId="250" fontId="43" fillId="0" borderId="0" applyFont="0" applyFill="0" applyBorder="0" applyAlignment="0" applyProtection="0"/>
    <xf numFmtId="181" fontId="43" fillId="0" borderId="0" applyFont="0" applyFill="0" applyBorder="0" applyAlignment="0" applyProtection="0"/>
    <xf numFmtId="181" fontId="43" fillId="0" borderId="0" applyFont="0" applyFill="0" applyBorder="0" applyAlignment="0" applyProtection="0"/>
    <xf numFmtId="181" fontId="43" fillId="0" borderId="0" applyFont="0" applyFill="0" applyBorder="0" applyAlignment="0" applyProtection="0"/>
    <xf numFmtId="181" fontId="43" fillId="0" borderId="0" applyFont="0" applyFill="0" applyBorder="0" applyAlignment="0" applyProtection="0"/>
    <xf numFmtId="181" fontId="43" fillId="0" borderId="0" applyFont="0" applyFill="0" applyBorder="0" applyAlignment="0" applyProtection="0"/>
    <xf numFmtId="181" fontId="43" fillId="0" borderId="0" applyFont="0" applyFill="0" applyBorder="0" applyAlignment="0" applyProtection="0"/>
    <xf numFmtId="181" fontId="43" fillId="0" borderId="0" applyFont="0" applyFill="0" applyBorder="0" applyAlignment="0" applyProtection="0"/>
    <xf numFmtId="181" fontId="43" fillId="0" borderId="0" applyFont="0" applyFill="0" applyBorder="0" applyAlignment="0" applyProtection="0"/>
    <xf numFmtId="181" fontId="43" fillId="0" borderId="0" applyFont="0" applyFill="0" applyBorder="0" applyAlignment="0" applyProtection="0"/>
    <xf numFmtId="178"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178" fontId="43" fillId="0" borderId="0" applyFont="0" applyFill="0" applyBorder="0" applyAlignment="0" applyProtection="0"/>
    <xf numFmtId="41" fontId="43" fillId="0" borderId="0" applyFont="0" applyFill="0" applyBorder="0" applyAlignment="0" applyProtection="0"/>
    <xf numFmtId="181" fontId="43" fillId="0" borderId="0" applyFont="0" applyFill="0" applyBorder="0" applyAlignment="0" applyProtection="0"/>
    <xf numFmtId="178" fontId="43" fillId="0" borderId="0" applyFont="0" applyFill="0" applyBorder="0" applyAlignment="0" applyProtection="0"/>
    <xf numFmtId="41" fontId="43" fillId="0" borderId="0" applyFont="0" applyFill="0" applyBorder="0" applyAlignment="0" applyProtection="0"/>
    <xf numFmtId="181" fontId="43" fillId="0" borderId="0" applyFont="0" applyFill="0" applyBorder="0" applyAlignment="0" applyProtection="0"/>
    <xf numFmtId="250" fontId="43" fillId="0" borderId="0" applyFont="0" applyFill="0" applyBorder="0" applyAlignment="0" applyProtection="0"/>
    <xf numFmtId="178" fontId="43" fillId="0" borderId="0" applyFont="0" applyFill="0" applyBorder="0" applyAlignment="0" applyProtection="0"/>
    <xf numFmtId="164" fontId="43" fillId="0" borderId="0" applyFont="0" applyFill="0" applyBorder="0" applyAlignment="0" applyProtection="0"/>
    <xf numFmtId="250" fontId="43" fillId="0" borderId="0" applyFont="0" applyFill="0" applyBorder="0" applyAlignment="0" applyProtection="0"/>
    <xf numFmtId="249" fontId="43" fillId="0" borderId="0" applyFont="0" applyFill="0" applyBorder="0" applyAlignment="0" applyProtection="0"/>
    <xf numFmtId="41" fontId="43" fillId="0" borderId="0" applyFont="0" applyFill="0" applyBorder="0" applyAlignment="0" applyProtection="0"/>
    <xf numFmtId="181" fontId="43" fillId="0" borderId="0" applyFont="0" applyFill="0" applyBorder="0" applyAlignment="0" applyProtection="0"/>
    <xf numFmtId="181" fontId="43" fillId="0" borderId="0" applyFont="0" applyFill="0" applyBorder="0" applyAlignment="0" applyProtection="0"/>
    <xf numFmtId="41" fontId="43" fillId="0" borderId="0" applyFont="0" applyFill="0" applyBorder="0" applyAlignment="0" applyProtection="0"/>
    <xf numFmtId="250" fontId="43" fillId="0" borderId="0" applyFont="0" applyFill="0" applyBorder="0" applyAlignment="0" applyProtection="0"/>
    <xf numFmtId="178" fontId="43" fillId="0" borderId="0" applyFont="0" applyFill="0" applyBorder="0" applyAlignment="0" applyProtection="0"/>
    <xf numFmtId="248" fontId="43" fillId="0" borderId="0" applyFont="0" applyFill="0" applyBorder="0" applyAlignment="0" applyProtection="0"/>
    <xf numFmtId="248" fontId="43" fillId="0" borderId="0" applyFont="0" applyFill="0" applyBorder="0" applyAlignment="0" applyProtection="0"/>
    <xf numFmtId="181" fontId="43" fillId="0" borderId="0" applyFont="0" applyFill="0" applyBorder="0" applyAlignment="0" applyProtection="0"/>
    <xf numFmtId="248" fontId="43" fillId="0" borderId="0" applyFont="0" applyFill="0" applyBorder="0" applyAlignment="0" applyProtection="0"/>
    <xf numFmtId="181" fontId="43" fillId="0" borderId="0" applyFont="0" applyFill="0" applyBorder="0" applyAlignment="0" applyProtection="0"/>
    <xf numFmtId="41" fontId="43" fillId="0" borderId="0" applyFont="0" applyFill="0" applyBorder="0" applyAlignment="0" applyProtection="0"/>
    <xf numFmtId="252" fontId="43" fillId="0" borderId="0" applyFont="0" applyFill="0" applyBorder="0" applyAlignment="0" applyProtection="0"/>
    <xf numFmtId="253" fontId="43" fillId="0" borderId="0" applyFont="0" applyFill="0" applyBorder="0" applyAlignment="0" applyProtection="0"/>
    <xf numFmtId="250"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181" fontId="43" fillId="0" borderId="0" applyFont="0" applyFill="0" applyBorder="0" applyAlignment="0" applyProtection="0"/>
    <xf numFmtId="249" fontId="43" fillId="0" borderId="0" applyFont="0" applyFill="0" applyBorder="0" applyAlignment="0" applyProtection="0"/>
    <xf numFmtId="234"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237"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237" fontId="43" fillId="0" borderId="0" applyFont="0" applyFill="0" applyBorder="0" applyAlignment="0" applyProtection="0"/>
    <xf numFmtId="184" fontId="40" fillId="0" borderId="0" applyFont="0" applyFill="0" applyBorder="0" applyAlignment="0" applyProtection="0"/>
    <xf numFmtId="235" fontId="43" fillId="0" borderId="0" applyFont="0" applyFill="0" applyBorder="0" applyAlignment="0" applyProtection="0"/>
    <xf numFmtId="236" fontId="43" fillId="0" borderId="0" applyFont="0" applyFill="0" applyBorder="0" applyAlignment="0" applyProtection="0"/>
    <xf numFmtId="236" fontId="43" fillId="0" borderId="0" applyFont="0" applyFill="0" applyBorder="0" applyAlignment="0" applyProtection="0"/>
    <xf numFmtId="236" fontId="43" fillId="0" borderId="0" applyFont="0" applyFill="0" applyBorder="0" applyAlignment="0" applyProtection="0"/>
    <xf numFmtId="237" fontId="43" fillId="0" borderId="0" applyFont="0" applyFill="0" applyBorder="0" applyAlignment="0" applyProtection="0"/>
    <xf numFmtId="234"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237"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237" fontId="43" fillId="0" borderId="0" applyFont="0" applyFill="0" applyBorder="0" applyAlignment="0" applyProtection="0"/>
    <xf numFmtId="234"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235"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237" fontId="43" fillId="0" borderId="0" applyFont="0" applyFill="0" applyBorder="0" applyAlignment="0" applyProtection="0"/>
    <xf numFmtId="183" fontId="43" fillId="0" borderId="0" applyFont="0" applyFill="0" applyBorder="0" applyAlignment="0" applyProtection="0"/>
    <xf numFmtId="183" fontId="43" fillId="0" borderId="0" applyFont="0" applyFill="0" applyBorder="0" applyAlignment="0" applyProtection="0"/>
    <xf numFmtId="183" fontId="43" fillId="0" borderId="0" applyFont="0" applyFill="0" applyBorder="0" applyAlignment="0" applyProtection="0"/>
    <xf numFmtId="183" fontId="43" fillId="0" borderId="0" applyFont="0" applyFill="0" applyBorder="0" applyAlignment="0" applyProtection="0"/>
    <xf numFmtId="244" fontId="129" fillId="0" borderId="0" applyFont="0" applyFill="0" applyBorder="0" applyAlignment="0" applyProtection="0"/>
    <xf numFmtId="245" fontId="43" fillId="0" borderId="0" applyFont="0" applyFill="0" applyBorder="0" applyAlignment="0" applyProtection="0"/>
    <xf numFmtId="183" fontId="43" fillId="0" borderId="0" applyFont="0" applyFill="0" applyBorder="0" applyAlignment="0" applyProtection="0"/>
    <xf numFmtId="183" fontId="43" fillId="0" borderId="0" applyFont="0" applyFill="0" applyBorder="0" applyAlignment="0" applyProtection="0"/>
    <xf numFmtId="183" fontId="43" fillId="0" borderId="0" applyFont="0" applyFill="0" applyBorder="0" applyAlignment="0" applyProtection="0"/>
    <xf numFmtId="183" fontId="43" fillId="0" borderId="0" applyFont="0" applyFill="0" applyBorder="0" applyAlignment="0" applyProtection="0"/>
    <xf numFmtId="246" fontId="43" fillId="0" borderId="0" applyFont="0" applyFill="0" applyBorder="0" applyAlignment="0" applyProtection="0"/>
    <xf numFmtId="237"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234" fontId="43" fillId="0" borderId="0" applyFont="0" applyFill="0" applyBorder="0" applyAlignment="0" applyProtection="0"/>
    <xf numFmtId="247" fontId="43" fillId="0" borderId="0" applyFont="0" applyFill="0" applyBorder="0" applyAlignment="0" applyProtection="0"/>
    <xf numFmtId="41" fontId="43" fillId="0" borderId="0" applyFont="0" applyFill="0" applyBorder="0" applyAlignment="0" applyProtection="0"/>
    <xf numFmtId="178" fontId="43" fillId="0" borderId="0" applyFont="0" applyFill="0" applyBorder="0" applyAlignment="0" applyProtection="0"/>
    <xf numFmtId="190" fontId="43" fillId="0" borderId="0" applyFont="0" applyFill="0" applyBorder="0" applyAlignment="0" applyProtection="0"/>
    <xf numFmtId="248" fontId="43" fillId="0" borderId="0" applyFont="0" applyFill="0" applyBorder="0" applyAlignment="0" applyProtection="0"/>
    <xf numFmtId="181" fontId="43" fillId="0" borderId="0" applyFont="0" applyFill="0" applyBorder="0" applyAlignment="0" applyProtection="0"/>
    <xf numFmtId="248" fontId="43" fillId="0" borderId="0" applyFont="0" applyFill="0" applyBorder="0" applyAlignment="0" applyProtection="0"/>
    <xf numFmtId="249" fontId="43" fillId="0" borderId="0" applyFont="0" applyFill="0" applyBorder="0" applyAlignment="0" applyProtection="0"/>
    <xf numFmtId="41" fontId="43" fillId="0" borderId="0" applyFont="0" applyFill="0" applyBorder="0" applyAlignment="0" applyProtection="0"/>
    <xf numFmtId="178" fontId="43" fillId="0" borderId="0" applyFont="0" applyFill="0" applyBorder="0" applyAlignment="0" applyProtection="0"/>
    <xf numFmtId="178" fontId="43" fillId="0" borderId="0" applyFont="0" applyFill="0" applyBorder="0" applyAlignment="0" applyProtection="0"/>
    <xf numFmtId="178" fontId="43" fillId="0" borderId="0" applyFont="0" applyFill="0" applyBorder="0" applyAlignment="0" applyProtection="0"/>
    <xf numFmtId="41" fontId="43" fillId="0" borderId="0" applyFont="0" applyFill="0" applyBorder="0" applyAlignment="0" applyProtection="0"/>
    <xf numFmtId="181" fontId="43" fillId="0" borderId="0" applyFont="0" applyFill="0" applyBorder="0" applyAlignment="0" applyProtection="0"/>
    <xf numFmtId="250"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248" fontId="43" fillId="0" borderId="0" applyFont="0" applyFill="0" applyBorder="0" applyAlignment="0" applyProtection="0"/>
    <xf numFmtId="190"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78" fontId="43" fillId="0" borderId="0" applyFont="0" applyFill="0" applyBorder="0" applyAlignment="0" applyProtection="0"/>
    <xf numFmtId="164" fontId="43" fillId="0" borderId="0" applyFont="0" applyFill="0" applyBorder="0" applyAlignment="0" applyProtection="0"/>
    <xf numFmtId="181" fontId="43" fillId="0" borderId="0" applyFont="0" applyFill="0" applyBorder="0" applyAlignment="0" applyProtection="0"/>
    <xf numFmtId="181" fontId="40" fillId="0" borderId="0" applyFont="0" applyFill="0" applyBorder="0" applyAlignment="0" applyProtection="0"/>
    <xf numFmtId="178" fontId="43" fillId="0" borderId="0" applyFont="0" applyFill="0" applyBorder="0" applyAlignment="0" applyProtection="0"/>
    <xf numFmtId="178" fontId="43" fillId="0" borderId="0" applyFont="0" applyFill="0" applyBorder="0" applyAlignment="0" applyProtection="0"/>
    <xf numFmtId="178" fontId="43" fillId="0" borderId="0" applyFont="0" applyFill="0" applyBorder="0" applyAlignment="0" applyProtection="0"/>
    <xf numFmtId="249" fontId="43" fillId="0" borderId="0" applyFont="0" applyFill="0" applyBorder="0" applyAlignment="0" applyProtection="0"/>
    <xf numFmtId="181" fontId="43" fillId="0" borderId="0" applyFont="0" applyFill="0" applyBorder="0" applyAlignment="0" applyProtection="0"/>
    <xf numFmtId="251" fontId="43" fillId="0" borderId="0" applyFont="0" applyFill="0" applyBorder="0" applyAlignment="0" applyProtection="0"/>
    <xf numFmtId="181" fontId="43" fillId="0" borderId="0" applyFont="0" applyFill="0" applyBorder="0" applyAlignment="0" applyProtection="0"/>
    <xf numFmtId="250" fontId="43" fillId="0" borderId="0" applyFont="0" applyFill="0" applyBorder="0" applyAlignment="0" applyProtection="0"/>
    <xf numFmtId="181" fontId="43" fillId="0" borderId="0" applyFont="0" applyFill="0" applyBorder="0" applyAlignment="0" applyProtection="0"/>
    <xf numFmtId="181" fontId="43" fillId="0" borderId="0" applyFont="0" applyFill="0" applyBorder="0" applyAlignment="0" applyProtection="0"/>
    <xf numFmtId="181" fontId="43" fillId="0" borderId="0" applyFont="0" applyFill="0" applyBorder="0" applyAlignment="0" applyProtection="0"/>
    <xf numFmtId="181" fontId="43" fillId="0" borderId="0" applyFont="0" applyFill="0" applyBorder="0" applyAlignment="0" applyProtection="0"/>
    <xf numFmtId="181" fontId="43" fillId="0" borderId="0" applyFont="0" applyFill="0" applyBorder="0" applyAlignment="0" applyProtection="0"/>
    <xf numFmtId="181" fontId="43" fillId="0" borderId="0" applyFont="0" applyFill="0" applyBorder="0" applyAlignment="0" applyProtection="0"/>
    <xf numFmtId="181" fontId="43" fillId="0" borderId="0" applyFont="0" applyFill="0" applyBorder="0" applyAlignment="0" applyProtection="0"/>
    <xf numFmtId="181" fontId="43" fillId="0" borderId="0" applyFont="0" applyFill="0" applyBorder="0" applyAlignment="0" applyProtection="0"/>
    <xf numFmtId="181" fontId="43" fillId="0" borderId="0" applyFont="0" applyFill="0" applyBorder="0" applyAlignment="0" applyProtection="0"/>
    <xf numFmtId="178"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178" fontId="43" fillId="0" borderId="0" applyFont="0" applyFill="0" applyBorder="0" applyAlignment="0" applyProtection="0"/>
    <xf numFmtId="41" fontId="43" fillId="0" borderId="0" applyFont="0" applyFill="0" applyBorder="0" applyAlignment="0" applyProtection="0"/>
    <xf numFmtId="181" fontId="43" fillId="0" borderId="0" applyFont="0" applyFill="0" applyBorder="0" applyAlignment="0" applyProtection="0"/>
    <xf numFmtId="178" fontId="43" fillId="0" borderId="0" applyFont="0" applyFill="0" applyBorder="0" applyAlignment="0" applyProtection="0"/>
    <xf numFmtId="41" fontId="43" fillId="0" borderId="0" applyFont="0" applyFill="0" applyBorder="0" applyAlignment="0" applyProtection="0"/>
    <xf numFmtId="181" fontId="43" fillId="0" borderId="0" applyFont="0" applyFill="0" applyBorder="0" applyAlignment="0" applyProtection="0"/>
    <xf numFmtId="250" fontId="43" fillId="0" borderId="0" applyFont="0" applyFill="0" applyBorder="0" applyAlignment="0" applyProtection="0"/>
    <xf numFmtId="178" fontId="43" fillId="0" borderId="0" applyFont="0" applyFill="0" applyBorder="0" applyAlignment="0" applyProtection="0"/>
    <xf numFmtId="164" fontId="43" fillId="0" borderId="0" applyFont="0" applyFill="0" applyBorder="0" applyAlignment="0" applyProtection="0"/>
    <xf numFmtId="250" fontId="43" fillId="0" borderId="0" applyFont="0" applyFill="0" applyBorder="0" applyAlignment="0" applyProtection="0"/>
    <xf numFmtId="249" fontId="43" fillId="0" borderId="0" applyFont="0" applyFill="0" applyBorder="0" applyAlignment="0" applyProtection="0"/>
    <xf numFmtId="41" fontId="43" fillId="0" borderId="0" applyFont="0" applyFill="0" applyBorder="0" applyAlignment="0" applyProtection="0"/>
    <xf numFmtId="181" fontId="43" fillId="0" borderId="0" applyFont="0" applyFill="0" applyBorder="0" applyAlignment="0" applyProtection="0"/>
    <xf numFmtId="181" fontId="43" fillId="0" borderId="0" applyFont="0" applyFill="0" applyBorder="0" applyAlignment="0" applyProtection="0"/>
    <xf numFmtId="41" fontId="43" fillId="0" borderId="0" applyFont="0" applyFill="0" applyBorder="0" applyAlignment="0" applyProtection="0"/>
    <xf numFmtId="250" fontId="43" fillId="0" borderId="0" applyFont="0" applyFill="0" applyBorder="0" applyAlignment="0" applyProtection="0"/>
    <xf numFmtId="178" fontId="43" fillId="0" borderId="0" applyFont="0" applyFill="0" applyBorder="0" applyAlignment="0" applyProtection="0"/>
    <xf numFmtId="248" fontId="43" fillId="0" borderId="0" applyFont="0" applyFill="0" applyBorder="0" applyAlignment="0" applyProtection="0"/>
    <xf numFmtId="248" fontId="43" fillId="0" borderId="0" applyFont="0" applyFill="0" applyBorder="0" applyAlignment="0" applyProtection="0"/>
    <xf numFmtId="181" fontId="43" fillId="0" borderId="0" applyFont="0" applyFill="0" applyBorder="0" applyAlignment="0" applyProtection="0"/>
    <xf numFmtId="248" fontId="43" fillId="0" borderId="0" applyFont="0" applyFill="0" applyBorder="0" applyAlignment="0" applyProtection="0"/>
    <xf numFmtId="181" fontId="43" fillId="0" borderId="0" applyFont="0" applyFill="0" applyBorder="0" applyAlignment="0" applyProtection="0"/>
    <xf numFmtId="41" fontId="43" fillId="0" borderId="0" applyFont="0" applyFill="0" applyBorder="0" applyAlignment="0" applyProtection="0"/>
    <xf numFmtId="252" fontId="43" fillId="0" borderId="0" applyFont="0" applyFill="0" applyBorder="0" applyAlignment="0" applyProtection="0"/>
    <xf numFmtId="253" fontId="43" fillId="0" borderId="0" applyFont="0" applyFill="0" applyBorder="0" applyAlignment="0" applyProtection="0"/>
    <xf numFmtId="250"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181" fontId="43" fillId="0" borderId="0" applyFont="0" applyFill="0" applyBorder="0" applyAlignment="0" applyProtection="0"/>
    <xf numFmtId="249" fontId="43" fillId="0" borderId="0" applyFont="0" applyFill="0" applyBorder="0" applyAlignment="0" applyProtection="0"/>
    <xf numFmtId="167" fontId="43" fillId="0" borderId="0" applyFont="0" applyFill="0" applyBorder="0" applyAlignment="0" applyProtection="0"/>
    <xf numFmtId="43" fontId="43" fillId="0" borderId="0" applyFont="0" applyFill="0" applyBorder="0" applyAlignment="0" applyProtection="0"/>
    <xf numFmtId="179" fontId="43" fillId="0" borderId="0" applyFont="0" applyFill="0" applyBorder="0" applyAlignment="0" applyProtection="0"/>
    <xf numFmtId="191" fontId="43" fillId="0" borderId="0" applyFont="0" applyFill="0" applyBorder="0" applyAlignment="0" applyProtection="0"/>
    <xf numFmtId="168" fontId="43" fillId="0" borderId="0" applyFont="0" applyFill="0" applyBorder="0" applyAlignment="0" applyProtection="0"/>
    <xf numFmtId="182" fontId="43" fillId="0" borderId="0" applyFont="0" applyFill="0" applyBorder="0" applyAlignment="0" applyProtection="0"/>
    <xf numFmtId="168" fontId="43" fillId="0" borderId="0" applyFont="0" applyFill="0" applyBorder="0" applyAlignment="0" applyProtection="0"/>
    <xf numFmtId="240" fontId="43" fillId="0" borderId="0" applyFont="0" applyFill="0" applyBorder="0" applyAlignment="0" applyProtection="0"/>
    <xf numFmtId="43" fontId="43" fillId="0" borderId="0" applyFont="0" applyFill="0" applyBorder="0" applyAlignment="0" applyProtection="0"/>
    <xf numFmtId="179" fontId="43" fillId="0" borderId="0" applyFont="0" applyFill="0" applyBorder="0" applyAlignment="0" applyProtection="0"/>
    <xf numFmtId="179" fontId="43" fillId="0" borderId="0" applyFont="0" applyFill="0" applyBorder="0" applyAlignment="0" applyProtection="0"/>
    <xf numFmtId="179" fontId="43" fillId="0" borderId="0" applyFont="0" applyFill="0" applyBorder="0" applyAlignment="0" applyProtection="0"/>
    <xf numFmtId="43" fontId="43" fillId="0" borderId="0" applyFont="0" applyFill="0" applyBorder="0" applyAlignment="0" applyProtection="0"/>
    <xf numFmtId="182" fontId="43" fillId="0" borderId="0" applyFont="0" applyFill="0" applyBorder="0" applyAlignment="0" applyProtection="0"/>
    <xf numFmtId="2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68" fontId="43" fillId="0" borderId="0" applyFont="0" applyFill="0" applyBorder="0" applyAlignment="0" applyProtection="0"/>
    <xf numFmtId="191"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79" fontId="43" fillId="0" borderId="0" applyFont="0" applyFill="0" applyBorder="0" applyAlignment="0" applyProtection="0"/>
    <xf numFmtId="165" fontId="43" fillId="0" borderId="0" applyFont="0" applyFill="0" applyBorder="0" applyAlignment="0" applyProtection="0"/>
    <xf numFmtId="182" fontId="43" fillId="0" borderId="0" applyFont="0" applyFill="0" applyBorder="0" applyAlignment="0" applyProtection="0"/>
    <xf numFmtId="0" fontId="43" fillId="0" borderId="0" applyFont="0" applyFill="0" applyBorder="0" applyAlignment="0" applyProtection="0"/>
    <xf numFmtId="179" fontId="43" fillId="0" borderId="0" applyFont="0" applyFill="0" applyBorder="0" applyAlignment="0" applyProtection="0"/>
    <xf numFmtId="179" fontId="43" fillId="0" borderId="0" applyFont="0" applyFill="0" applyBorder="0" applyAlignment="0" applyProtection="0"/>
    <xf numFmtId="179" fontId="43" fillId="0" borderId="0" applyFont="0" applyFill="0" applyBorder="0" applyAlignment="0" applyProtection="0"/>
    <xf numFmtId="240"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241"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79"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79" fontId="43" fillId="0" borderId="0" applyFont="0" applyFill="0" applyBorder="0" applyAlignment="0" applyProtection="0"/>
    <xf numFmtId="43" fontId="43" fillId="0" borderId="0" applyFont="0" applyFill="0" applyBorder="0" applyAlignment="0" applyProtection="0"/>
    <xf numFmtId="182" fontId="43" fillId="0" borderId="0" applyFont="0" applyFill="0" applyBorder="0" applyAlignment="0" applyProtection="0"/>
    <xf numFmtId="179" fontId="43" fillId="0" borderId="0" applyFont="0" applyFill="0" applyBorder="0" applyAlignment="0" applyProtection="0"/>
    <xf numFmtId="43" fontId="43" fillId="0" borderId="0" applyFont="0" applyFill="0" applyBorder="0" applyAlignment="0" applyProtection="0"/>
    <xf numFmtId="182" fontId="43" fillId="0" borderId="0" applyFont="0" applyFill="0" applyBorder="0" applyAlignment="0" applyProtection="0"/>
    <xf numFmtId="241" fontId="43" fillId="0" borderId="0" applyFont="0" applyFill="0" applyBorder="0" applyAlignment="0" applyProtection="0"/>
    <xf numFmtId="179" fontId="43" fillId="0" borderId="0" applyFont="0" applyFill="0" applyBorder="0" applyAlignment="0" applyProtection="0"/>
    <xf numFmtId="165" fontId="43" fillId="0" borderId="0" applyFont="0" applyFill="0" applyBorder="0" applyAlignment="0" applyProtection="0"/>
    <xf numFmtId="241" fontId="43" fillId="0" borderId="0" applyFont="0" applyFill="0" applyBorder="0" applyAlignment="0" applyProtection="0"/>
    <xf numFmtId="240" fontId="43" fillId="0" borderId="0" applyFont="0" applyFill="0" applyBorder="0" applyAlignment="0" applyProtection="0"/>
    <xf numFmtId="43"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43" fontId="43" fillId="0" borderId="0" applyFont="0" applyFill="0" applyBorder="0" applyAlignment="0" applyProtection="0"/>
    <xf numFmtId="241" fontId="43" fillId="0" borderId="0" applyFont="0" applyFill="0" applyBorder="0" applyAlignment="0" applyProtection="0"/>
    <xf numFmtId="179" fontId="43" fillId="0" borderId="0" applyFont="0" applyFill="0" applyBorder="0" applyAlignment="0" applyProtection="0"/>
    <xf numFmtId="168" fontId="43" fillId="0" borderId="0" applyFont="0" applyFill="0" applyBorder="0" applyAlignment="0" applyProtection="0"/>
    <xf numFmtId="168" fontId="43" fillId="0" borderId="0" applyFont="0" applyFill="0" applyBorder="0" applyAlignment="0" applyProtection="0"/>
    <xf numFmtId="182" fontId="43" fillId="0" borderId="0" applyFont="0" applyFill="0" applyBorder="0" applyAlignment="0" applyProtection="0"/>
    <xf numFmtId="168" fontId="43" fillId="0" borderId="0" applyFont="0" applyFill="0" applyBorder="0" applyAlignment="0" applyProtection="0"/>
    <xf numFmtId="182" fontId="43" fillId="0" borderId="0" applyFont="0" applyFill="0" applyBorder="0" applyAlignment="0" applyProtection="0"/>
    <xf numFmtId="43" fontId="43" fillId="0" borderId="0" applyFont="0" applyFill="0" applyBorder="0" applyAlignment="0" applyProtection="0"/>
    <xf numFmtId="242" fontId="43" fillId="0" borderId="0" applyFont="0" applyFill="0" applyBorder="0" applyAlignment="0" applyProtection="0"/>
    <xf numFmtId="243" fontId="43" fillId="0" borderId="0" applyFont="0" applyFill="0" applyBorder="0" applyAlignment="0" applyProtection="0"/>
    <xf numFmtId="2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82" fontId="43" fillId="0" borderId="0" applyFont="0" applyFill="0" applyBorder="0" applyAlignment="0" applyProtection="0"/>
    <xf numFmtId="240" fontId="43" fillId="0" borderId="0" applyFont="0" applyFill="0" applyBorder="0" applyAlignment="0" applyProtection="0"/>
    <xf numFmtId="238"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238"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239" fontId="40" fillId="0" borderId="0" applyFon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42" fontId="43" fillId="0" borderId="0" applyFont="0" applyFill="0" applyBorder="0" applyAlignment="0" applyProtection="0"/>
    <xf numFmtId="0" fontId="44" fillId="0" borderId="0"/>
    <xf numFmtId="234" fontId="43" fillId="0" borderId="0" applyFont="0" applyFill="0" applyBorder="0" applyAlignment="0" applyProtection="0"/>
    <xf numFmtId="0" fontId="44" fillId="0" borderId="0"/>
    <xf numFmtId="0" fontId="44" fillId="0" borderId="0"/>
    <xf numFmtId="0" fontId="44" fillId="0" borderId="0"/>
    <xf numFmtId="42" fontId="43" fillId="0" borderId="0" applyFont="0" applyFill="0" applyBorder="0" applyAlignment="0" applyProtection="0"/>
    <xf numFmtId="235"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237" fontId="43" fillId="0" borderId="0" applyFon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183" fontId="43" fillId="0" borderId="0" applyFont="0" applyFill="0" applyBorder="0" applyAlignment="0" applyProtection="0"/>
    <xf numFmtId="183" fontId="43" fillId="0" borderId="0" applyFont="0" applyFill="0" applyBorder="0" applyAlignment="0" applyProtection="0"/>
    <xf numFmtId="183" fontId="43" fillId="0" borderId="0" applyFont="0" applyFill="0" applyBorder="0" applyAlignment="0" applyProtection="0"/>
    <xf numFmtId="183" fontId="43" fillId="0" borderId="0" applyFont="0" applyFill="0" applyBorder="0" applyAlignment="0" applyProtection="0"/>
    <xf numFmtId="244" fontId="129" fillId="0" borderId="0" applyFont="0" applyFill="0" applyBorder="0" applyAlignment="0" applyProtection="0"/>
    <xf numFmtId="245" fontId="43" fillId="0" borderId="0" applyFont="0" applyFill="0" applyBorder="0" applyAlignment="0" applyProtection="0"/>
    <xf numFmtId="183" fontId="43" fillId="0" borderId="0" applyFont="0" applyFill="0" applyBorder="0" applyAlignment="0" applyProtection="0"/>
    <xf numFmtId="183" fontId="43" fillId="0" borderId="0" applyFont="0" applyFill="0" applyBorder="0" applyAlignment="0" applyProtection="0"/>
    <xf numFmtId="183" fontId="43" fillId="0" borderId="0" applyFont="0" applyFill="0" applyBorder="0" applyAlignment="0" applyProtection="0"/>
    <xf numFmtId="183" fontId="43" fillId="0" borderId="0" applyFont="0" applyFill="0" applyBorder="0" applyAlignment="0" applyProtection="0"/>
    <xf numFmtId="0" fontId="44" fillId="0" borderId="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44" fillId="0" borderId="0"/>
    <xf numFmtId="0" fontId="44" fillId="0" borderId="0"/>
    <xf numFmtId="235" fontId="43" fillId="0" borderId="0" applyFont="0" applyFill="0" applyBorder="0" applyAlignment="0" applyProtection="0"/>
    <xf numFmtId="246" fontId="43" fillId="0" borderId="0" applyFont="0" applyFill="0" applyBorder="0" applyAlignment="0" applyProtection="0"/>
    <xf numFmtId="247" fontId="43" fillId="0" borderId="0" applyFont="0" applyFill="0" applyBorder="0" applyAlignment="0" applyProtection="0"/>
    <xf numFmtId="41" fontId="43" fillId="0" borderId="0" applyFont="0" applyFill="0" applyBorder="0" applyAlignment="0" applyProtection="0"/>
    <xf numFmtId="178" fontId="43" fillId="0" borderId="0" applyFont="0" applyFill="0" applyBorder="0" applyAlignment="0" applyProtection="0"/>
    <xf numFmtId="190" fontId="43" fillId="0" borderId="0" applyFont="0" applyFill="0" applyBorder="0" applyAlignment="0" applyProtection="0"/>
    <xf numFmtId="248" fontId="43" fillId="0" borderId="0" applyFont="0" applyFill="0" applyBorder="0" applyAlignment="0" applyProtection="0"/>
    <xf numFmtId="181" fontId="43" fillId="0" borderId="0" applyFont="0" applyFill="0" applyBorder="0" applyAlignment="0" applyProtection="0"/>
    <xf numFmtId="248" fontId="43" fillId="0" borderId="0" applyFont="0" applyFill="0" applyBorder="0" applyAlignment="0" applyProtection="0"/>
    <xf numFmtId="249" fontId="43" fillId="0" borderId="0" applyFont="0" applyFill="0" applyBorder="0" applyAlignment="0" applyProtection="0"/>
    <xf numFmtId="41" fontId="43" fillId="0" borderId="0" applyFont="0" applyFill="0" applyBorder="0" applyAlignment="0" applyProtection="0"/>
    <xf numFmtId="178" fontId="43" fillId="0" borderId="0" applyFont="0" applyFill="0" applyBorder="0" applyAlignment="0" applyProtection="0"/>
    <xf numFmtId="178" fontId="43" fillId="0" borderId="0" applyFont="0" applyFill="0" applyBorder="0" applyAlignment="0" applyProtection="0"/>
    <xf numFmtId="178" fontId="43" fillId="0" borderId="0" applyFont="0" applyFill="0" applyBorder="0" applyAlignment="0" applyProtection="0"/>
    <xf numFmtId="41" fontId="43" fillId="0" borderId="0" applyFont="0" applyFill="0" applyBorder="0" applyAlignment="0" applyProtection="0"/>
    <xf numFmtId="181" fontId="43" fillId="0" borderId="0" applyFont="0" applyFill="0" applyBorder="0" applyAlignment="0" applyProtection="0"/>
    <xf numFmtId="250"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248" fontId="43" fillId="0" borderId="0" applyFont="0" applyFill="0" applyBorder="0" applyAlignment="0" applyProtection="0"/>
    <xf numFmtId="190"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78" fontId="43" fillId="0" borderId="0" applyFont="0" applyFill="0" applyBorder="0" applyAlignment="0" applyProtection="0"/>
    <xf numFmtId="164" fontId="43" fillId="0" borderId="0" applyFont="0" applyFill="0" applyBorder="0" applyAlignment="0" applyProtection="0"/>
    <xf numFmtId="181" fontId="43" fillId="0" borderId="0" applyFont="0" applyFill="0" applyBorder="0" applyAlignment="0" applyProtection="0"/>
    <xf numFmtId="181" fontId="40" fillId="0" borderId="0" applyFont="0" applyFill="0" applyBorder="0" applyAlignment="0" applyProtection="0"/>
    <xf numFmtId="178" fontId="43" fillId="0" borderId="0" applyFont="0" applyFill="0" applyBorder="0" applyAlignment="0" applyProtection="0"/>
    <xf numFmtId="178" fontId="43" fillId="0" borderId="0" applyFont="0" applyFill="0" applyBorder="0" applyAlignment="0" applyProtection="0"/>
    <xf numFmtId="178" fontId="43" fillId="0" borderId="0" applyFont="0" applyFill="0" applyBorder="0" applyAlignment="0" applyProtection="0"/>
    <xf numFmtId="249" fontId="43" fillId="0" borderId="0" applyFont="0" applyFill="0" applyBorder="0" applyAlignment="0" applyProtection="0"/>
    <xf numFmtId="181" fontId="43" fillId="0" borderId="0" applyFont="0" applyFill="0" applyBorder="0" applyAlignment="0" applyProtection="0"/>
    <xf numFmtId="251" fontId="43" fillId="0" borderId="0" applyFont="0" applyFill="0" applyBorder="0" applyAlignment="0" applyProtection="0"/>
    <xf numFmtId="181" fontId="43" fillId="0" borderId="0" applyFont="0" applyFill="0" applyBorder="0" applyAlignment="0" applyProtection="0"/>
    <xf numFmtId="250" fontId="43" fillId="0" borderId="0" applyFont="0" applyFill="0" applyBorder="0" applyAlignment="0" applyProtection="0"/>
    <xf numFmtId="181" fontId="43" fillId="0" borderId="0" applyFont="0" applyFill="0" applyBorder="0" applyAlignment="0" applyProtection="0"/>
    <xf numFmtId="181" fontId="43" fillId="0" borderId="0" applyFont="0" applyFill="0" applyBorder="0" applyAlignment="0" applyProtection="0"/>
    <xf numFmtId="181" fontId="43" fillId="0" borderId="0" applyFont="0" applyFill="0" applyBorder="0" applyAlignment="0" applyProtection="0"/>
    <xf numFmtId="181" fontId="43" fillId="0" borderId="0" applyFont="0" applyFill="0" applyBorder="0" applyAlignment="0" applyProtection="0"/>
    <xf numFmtId="181" fontId="43" fillId="0" borderId="0" applyFont="0" applyFill="0" applyBorder="0" applyAlignment="0" applyProtection="0"/>
    <xf numFmtId="181" fontId="43" fillId="0" borderId="0" applyFont="0" applyFill="0" applyBorder="0" applyAlignment="0" applyProtection="0"/>
    <xf numFmtId="181" fontId="43" fillId="0" borderId="0" applyFont="0" applyFill="0" applyBorder="0" applyAlignment="0" applyProtection="0"/>
    <xf numFmtId="181" fontId="43" fillId="0" borderId="0" applyFont="0" applyFill="0" applyBorder="0" applyAlignment="0" applyProtection="0"/>
    <xf numFmtId="181" fontId="43" fillId="0" borderId="0" applyFont="0" applyFill="0" applyBorder="0" applyAlignment="0" applyProtection="0"/>
    <xf numFmtId="178"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178" fontId="43" fillId="0" borderId="0" applyFont="0" applyFill="0" applyBorder="0" applyAlignment="0" applyProtection="0"/>
    <xf numFmtId="41" fontId="43" fillId="0" borderId="0" applyFont="0" applyFill="0" applyBorder="0" applyAlignment="0" applyProtection="0"/>
    <xf numFmtId="181" fontId="43" fillId="0" borderId="0" applyFont="0" applyFill="0" applyBorder="0" applyAlignment="0" applyProtection="0"/>
    <xf numFmtId="178" fontId="43" fillId="0" borderId="0" applyFont="0" applyFill="0" applyBorder="0" applyAlignment="0" applyProtection="0"/>
    <xf numFmtId="41" fontId="43" fillId="0" borderId="0" applyFont="0" applyFill="0" applyBorder="0" applyAlignment="0" applyProtection="0"/>
    <xf numFmtId="181" fontId="43" fillId="0" borderId="0" applyFont="0" applyFill="0" applyBorder="0" applyAlignment="0" applyProtection="0"/>
    <xf numFmtId="250" fontId="43" fillId="0" borderId="0" applyFont="0" applyFill="0" applyBorder="0" applyAlignment="0" applyProtection="0"/>
    <xf numFmtId="178" fontId="43" fillId="0" borderId="0" applyFont="0" applyFill="0" applyBorder="0" applyAlignment="0" applyProtection="0"/>
    <xf numFmtId="164" fontId="43" fillId="0" borderId="0" applyFont="0" applyFill="0" applyBorder="0" applyAlignment="0" applyProtection="0"/>
    <xf numFmtId="250" fontId="43" fillId="0" borderId="0" applyFont="0" applyFill="0" applyBorder="0" applyAlignment="0" applyProtection="0"/>
    <xf numFmtId="249" fontId="43" fillId="0" borderId="0" applyFont="0" applyFill="0" applyBorder="0" applyAlignment="0" applyProtection="0"/>
    <xf numFmtId="41" fontId="43" fillId="0" borderId="0" applyFont="0" applyFill="0" applyBorder="0" applyAlignment="0" applyProtection="0"/>
    <xf numFmtId="181" fontId="43" fillId="0" borderId="0" applyFont="0" applyFill="0" applyBorder="0" applyAlignment="0" applyProtection="0"/>
    <xf numFmtId="181" fontId="43" fillId="0" borderId="0" applyFont="0" applyFill="0" applyBorder="0" applyAlignment="0" applyProtection="0"/>
    <xf numFmtId="41" fontId="43" fillId="0" borderId="0" applyFont="0" applyFill="0" applyBorder="0" applyAlignment="0" applyProtection="0"/>
    <xf numFmtId="250" fontId="43" fillId="0" borderId="0" applyFont="0" applyFill="0" applyBorder="0" applyAlignment="0" applyProtection="0"/>
    <xf numFmtId="178" fontId="43" fillId="0" borderId="0" applyFont="0" applyFill="0" applyBorder="0" applyAlignment="0" applyProtection="0"/>
    <xf numFmtId="248" fontId="43" fillId="0" borderId="0" applyFont="0" applyFill="0" applyBorder="0" applyAlignment="0" applyProtection="0"/>
    <xf numFmtId="248" fontId="43" fillId="0" borderId="0" applyFont="0" applyFill="0" applyBorder="0" applyAlignment="0" applyProtection="0"/>
    <xf numFmtId="181" fontId="43" fillId="0" borderId="0" applyFont="0" applyFill="0" applyBorder="0" applyAlignment="0" applyProtection="0"/>
    <xf numFmtId="248" fontId="43" fillId="0" borderId="0" applyFont="0" applyFill="0" applyBorder="0" applyAlignment="0" applyProtection="0"/>
    <xf numFmtId="181" fontId="43" fillId="0" borderId="0" applyFont="0" applyFill="0" applyBorder="0" applyAlignment="0" applyProtection="0"/>
    <xf numFmtId="41" fontId="43" fillId="0" borderId="0" applyFont="0" applyFill="0" applyBorder="0" applyAlignment="0" applyProtection="0"/>
    <xf numFmtId="252" fontId="43" fillId="0" borderId="0" applyFont="0" applyFill="0" applyBorder="0" applyAlignment="0" applyProtection="0"/>
    <xf numFmtId="253" fontId="43" fillId="0" borderId="0" applyFont="0" applyFill="0" applyBorder="0" applyAlignment="0" applyProtection="0"/>
    <xf numFmtId="250"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181" fontId="43" fillId="0" borderId="0" applyFont="0" applyFill="0" applyBorder="0" applyAlignment="0" applyProtection="0"/>
    <xf numFmtId="249" fontId="43" fillId="0" borderId="0" applyFont="0" applyFill="0" applyBorder="0" applyAlignment="0" applyProtection="0"/>
    <xf numFmtId="167" fontId="43" fillId="0" borderId="0" applyFont="0" applyFill="0" applyBorder="0" applyAlignment="0" applyProtection="0"/>
    <xf numFmtId="43" fontId="43" fillId="0" borderId="0" applyFont="0" applyFill="0" applyBorder="0" applyAlignment="0" applyProtection="0"/>
    <xf numFmtId="179" fontId="43" fillId="0" borderId="0" applyFont="0" applyFill="0" applyBorder="0" applyAlignment="0" applyProtection="0"/>
    <xf numFmtId="191" fontId="43" fillId="0" borderId="0" applyFont="0" applyFill="0" applyBorder="0" applyAlignment="0" applyProtection="0"/>
    <xf numFmtId="168" fontId="43" fillId="0" borderId="0" applyFont="0" applyFill="0" applyBorder="0" applyAlignment="0" applyProtection="0"/>
    <xf numFmtId="182" fontId="43" fillId="0" borderId="0" applyFont="0" applyFill="0" applyBorder="0" applyAlignment="0" applyProtection="0"/>
    <xf numFmtId="168" fontId="43" fillId="0" borderId="0" applyFont="0" applyFill="0" applyBorder="0" applyAlignment="0" applyProtection="0"/>
    <xf numFmtId="240" fontId="43" fillId="0" borderId="0" applyFont="0" applyFill="0" applyBorder="0" applyAlignment="0" applyProtection="0"/>
    <xf numFmtId="43" fontId="43" fillId="0" borderId="0" applyFont="0" applyFill="0" applyBorder="0" applyAlignment="0" applyProtection="0"/>
    <xf numFmtId="179" fontId="43" fillId="0" borderId="0" applyFont="0" applyFill="0" applyBorder="0" applyAlignment="0" applyProtection="0"/>
    <xf numFmtId="179" fontId="43" fillId="0" borderId="0" applyFont="0" applyFill="0" applyBorder="0" applyAlignment="0" applyProtection="0"/>
    <xf numFmtId="179" fontId="43" fillId="0" borderId="0" applyFont="0" applyFill="0" applyBorder="0" applyAlignment="0" applyProtection="0"/>
    <xf numFmtId="43" fontId="43" fillId="0" borderId="0" applyFont="0" applyFill="0" applyBorder="0" applyAlignment="0" applyProtection="0"/>
    <xf numFmtId="182" fontId="43" fillId="0" borderId="0" applyFont="0" applyFill="0" applyBorder="0" applyAlignment="0" applyProtection="0"/>
    <xf numFmtId="2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68" fontId="43" fillId="0" borderId="0" applyFont="0" applyFill="0" applyBorder="0" applyAlignment="0" applyProtection="0"/>
    <xf numFmtId="191"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79" fontId="43" fillId="0" borderId="0" applyFont="0" applyFill="0" applyBorder="0" applyAlignment="0" applyProtection="0"/>
    <xf numFmtId="165" fontId="43" fillId="0" borderId="0" applyFont="0" applyFill="0" applyBorder="0" applyAlignment="0" applyProtection="0"/>
    <xf numFmtId="182" fontId="43" fillId="0" borderId="0" applyFont="0" applyFill="0" applyBorder="0" applyAlignment="0" applyProtection="0"/>
    <xf numFmtId="0" fontId="43" fillId="0" borderId="0" applyFont="0" applyFill="0" applyBorder="0" applyAlignment="0" applyProtection="0"/>
    <xf numFmtId="179" fontId="43" fillId="0" borderId="0" applyFont="0" applyFill="0" applyBorder="0" applyAlignment="0" applyProtection="0"/>
    <xf numFmtId="179" fontId="43" fillId="0" borderId="0" applyFont="0" applyFill="0" applyBorder="0" applyAlignment="0" applyProtection="0"/>
    <xf numFmtId="179" fontId="43" fillId="0" borderId="0" applyFont="0" applyFill="0" applyBorder="0" applyAlignment="0" applyProtection="0"/>
    <xf numFmtId="240"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241"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79"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79" fontId="43" fillId="0" borderId="0" applyFont="0" applyFill="0" applyBorder="0" applyAlignment="0" applyProtection="0"/>
    <xf numFmtId="43" fontId="43" fillId="0" borderId="0" applyFont="0" applyFill="0" applyBorder="0" applyAlignment="0" applyProtection="0"/>
    <xf numFmtId="182" fontId="43" fillId="0" borderId="0" applyFont="0" applyFill="0" applyBorder="0" applyAlignment="0" applyProtection="0"/>
    <xf numFmtId="179" fontId="43" fillId="0" borderId="0" applyFont="0" applyFill="0" applyBorder="0" applyAlignment="0" applyProtection="0"/>
    <xf numFmtId="43" fontId="43" fillId="0" borderId="0" applyFont="0" applyFill="0" applyBorder="0" applyAlignment="0" applyProtection="0"/>
    <xf numFmtId="182" fontId="43" fillId="0" borderId="0" applyFont="0" applyFill="0" applyBorder="0" applyAlignment="0" applyProtection="0"/>
    <xf numFmtId="241" fontId="43" fillId="0" borderId="0" applyFont="0" applyFill="0" applyBorder="0" applyAlignment="0" applyProtection="0"/>
    <xf numFmtId="179" fontId="43" fillId="0" borderId="0" applyFont="0" applyFill="0" applyBorder="0" applyAlignment="0" applyProtection="0"/>
    <xf numFmtId="165" fontId="43" fillId="0" borderId="0" applyFont="0" applyFill="0" applyBorder="0" applyAlignment="0" applyProtection="0"/>
    <xf numFmtId="241" fontId="43" fillId="0" borderId="0" applyFont="0" applyFill="0" applyBorder="0" applyAlignment="0" applyProtection="0"/>
    <xf numFmtId="240" fontId="43" fillId="0" borderId="0" applyFont="0" applyFill="0" applyBorder="0" applyAlignment="0" applyProtection="0"/>
    <xf numFmtId="43"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43" fontId="43" fillId="0" borderId="0" applyFont="0" applyFill="0" applyBorder="0" applyAlignment="0" applyProtection="0"/>
    <xf numFmtId="241" fontId="43" fillId="0" borderId="0" applyFont="0" applyFill="0" applyBorder="0" applyAlignment="0" applyProtection="0"/>
    <xf numFmtId="179" fontId="43" fillId="0" borderId="0" applyFont="0" applyFill="0" applyBorder="0" applyAlignment="0" applyProtection="0"/>
    <xf numFmtId="168" fontId="43" fillId="0" borderId="0" applyFont="0" applyFill="0" applyBorder="0" applyAlignment="0" applyProtection="0"/>
    <xf numFmtId="168" fontId="43" fillId="0" borderId="0" applyFont="0" applyFill="0" applyBorder="0" applyAlignment="0" applyProtection="0"/>
    <xf numFmtId="182" fontId="43" fillId="0" borderId="0" applyFont="0" applyFill="0" applyBorder="0" applyAlignment="0" applyProtection="0"/>
    <xf numFmtId="168" fontId="43" fillId="0" borderId="0" applyFont="0" applyFill="0" applyBorder="0" applyAlignment="0" applyProtection="0"/>
    <xf numFmtId="182" fontId="43" fillId="0" borderId="0" applyFont="0" applyFill="0" applyBorder="0" applyAlignment="0" applyProtection="0"/>
    <xf numFmtId="43" fontId="43" fillId="0" borderId="0" applyFont="0" applyFill="0" applyBorder="0" applyAlignment="0" applyProtection="0"/>
    <xf numFmtId="242" fontId="43" fillId="0" borderId="0" applyFont="0" applyFill="0" applyBorder="0" applyAlignment="0" applyProtection="0"/>
    <xf numFmtId="243" fontId="43" fillId="0" borderId="0" applyFont="0" applyFill="0" applyBorder="0" applyAlignment="0" applyProtection="0"/>
    <xf numFmtId="2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82" fontId="43" fillId="0" borderId="0" applyFont="0" applyFill="0" applyBorder="0" applyAlignment="0" applyProtection="0"/>
    <xf numFmtId="240" fontId="43" fillId="0" borderId="0" applyFont="0" applyFill="0" applyBorder="0" applyAlignment="0" applyProtection="0"/>
    <xf numFmtId="238"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238"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239" fontId="40" fillId="0" borderId="0" applyFont="0" applyFill="0" applyBorder="0" applyAlignment="0" applyProtection="0"/>
    <xf numFmtId="237" fontId="43" fillId="0" borderId="0" applyFon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44" fillId="0" borderId="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42" fontId="43" fillId="0" borderId="0" applyFont="0" applyFill="0" applyBorder="0" applyAlignment="0" applyProtection="0"/>
    <xf numFmtId="0" fontId="128" fillId="0" borderId="0">
      <alignment vertical="top"/>
    </xf>
    <xf numFmtId="0" fontId="128" fillId="0" borderId="0">
      <alignment vertical="top"/>
    </xf>
    <xf numFmtId="0" fontId="54" fillId="0" borderId="0">
      <alignment vertical="top"/>
    </xf>
    <xf numFmtId="0" fontId="54" fillId="0" borderId="0">
      <alignment vertical="top"/>
    </xf>
    <xf numFmtId="0" fontId="54" fillId="0" borderId="0">
      <alignment vertical="top"/>
    </xf>
    <xf numFmtId="0" fontId="128" fillId="0" borderId="0">
      <alignment vertical="top"/>
    </xf>
    <xf numFmtId="0" fontId="128" fillId="0" borderId="0">
      <alignment vertical="top"/>
    </xf>
    <xf numFmtId="0" fontId="54" fillId="0" borderId="0">
      <alignment vertical="top"/>
    </xf>
    <xf numFmtId="0" fontId="54" fillId="0" borderId="0">
      <alignment vertical="top"/>
    </xf>
    <xf numFmtId="0" fontId="54" fillId="0" borderId="0">
      <alignment vertical="top"/>
    </xf>
    <xf numFmtId="0" fontId="128" fillId="0" borderId="0">
      <alignment vertical="top"/>
    </xf>
    <xf numFmtId="0" fontId="5" fillId="0" borderId="0"/>
    <xf numFmtId="0" fontId="128" fillId="0" borderId="0">
      <alignment vertical="top"/>
    </xf>
    <xf numFmtId="0" fontId="128" fillId="0" borderId="0">
      <alignment vertical="top"/>
    </xf>
    <xf numFmtId="0" fontId="128" fillId="0" borderId="0">
      <alignment vertical="top"/>
    </xf>
    <xf numFmtId="0" fontId="54" fillId="0" borderId="0">
      <alignment vertical="top"/>
    </xf>
    <xf numFmtId="0" fontId="54" fillId="0" borderId="0">
      <alignment vertical="top"/>
    </xf>
    <xf numFmtId="0" fontId="54" fillId="0" borderId="0">
      <alignment vertical="top"/>
    </xf>
    <xf numFmtId="0" fontId="128" fillId="0" borderId="0">
      <alignment vertical="top"/>
    </xf>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239" fontId="65" fillId="0" borderId="0" applyProtection="0"/>
    <xf numFmtId="172" fontId="65" fillId="0" borderId="0" applyProtection="0"/>
    <xf numFmtId="172" fontId="65" fillId="0" borderId="0" applyProtection="0"/>
    <xf numFmtId="0" fontId="124" fillId="0" borderId="0" applyProtection="0"/>
    <xf numFmtId="239" fontId="65" fillId="0" borderId="0" applyProtection="0"/>
    <xf numFmtId="172" fontId="65" fillId="0" borderId="0" applyProtection="0"/>
    <xf numFmtId="172" fontId="65" fillId="0" borderId="0" applyProtection="0"/>
    <xf numFmtId="0" fontId="124" fillId="0" borderId="0" applyProtection="0"/>
    <xf numFmtId="237" fontId="43" fillId="0" borderId="0" applyFon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42" fontId="43" fillId="0" borderId="0" applyFont="0" applyFill="0" applyBorder="0" applyAlignment="0" applyProtection="0"/>
    <xf numFmtId="234" fontId="43" fillId="0" borderId="0" applyFont="0" applyFill="0" applyBorder="0" applyAlignment="0" applyProtection="0"/>
    <xf numFmtId="0" fontId="44" fillId="0" borderId="0"/>
    <xf numFmtId="254" fontId="130" fillId="0" borderId="0" applyFont="0" applyFill="0" applyBorder="0" applyAlignment="0" applyProtection="0"/>
    <xf numFmtId="255" fontId="130" fillId="0" borderId="0" applyFont="0" applyFill="0" applyBorder="0" applyAlignment="0" applyProtection="0"/>
    <xf numFmtId="0" fontId="59" fillId="0" borderId="0"/>
    <xf numFmtId="0" fontId="76" fillId="0" borderId="0"/>
    <xf numFmtId="0" fontId="76" fillId="0" borderId="0"/>
    <xf numFmtId="0" fontId="5" fillId="0" borderId="0"/>
    <xf numFmtId="0" fontId="131" fillId="0" borderId="0"/>
    <xf numFmtId="0" fontId="76" fillId="0" borderId="0" applyProtection="0"/>
    <xf numFmtId="0" fontId="45" fillId="22" borderId="0"/>
    <xf numFmtId="185" fontId="132" fillId="0" borderId="0" applyFont="0" applyFill="0" applyBorder="0" applyAlignment="0" applyProtection="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185" fontId="132" fillId="0" borderId="0" applyFont="0" applyFill="0" applyBorder="0" applyAlignment="0" applyProtection="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45" fillId="22" borderId="0"/>
    <xf numFmtId="0" fontId="134" fillId="0" borderId="0" applyFont="0" applyFill="0" applyBorder="0" applyAlignment="0">
      <alignment horizontal="left"/>
    </xf>
    <xf numFmtId="185" fontId="132" fillId="0" borderId="0" applyFont="0" applyFill="0" applyBorder="0" applyAlignment="0" applyProtection="0"/>
    <xf numFmtId="0" fontId="45" fillId="22" borderId="0"/>
    <xf numFmtId="0" fontId="135" fillId="0" borderId="2" applyNumberFormat="0" applyFont="0" applyBorder="0">
      <alignment horizontal="left" indent="2"/>
    </xf>
    <xf numFmtId="0" fontId="135" fillId="0" borderId="2" applyNumberFormat="0" applyFont="0" applyBorder="0">
      <alignment horizontal="left" indent="2"/>
    </xf>
    <xf numFmtId="0" fontId="134" fillId="0" borderId="0" applyFont="0" applyFill="0" applyBorder="0" applyAlignment="0">
      <alignment horizontal="left"/>
    </xf>
    <xf numFmtId="0" fontId="136" fillId="0"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47" fillId="22" borderId="0"/>
    <xf numFmtId="0" fontId="135" fillId="0" borderId="2" applyNumberFormat="0" applyFont="0" applyBorder="0" applyAlignment="0">
      <alignment horizontal="center"/>
    </xf>
    <xf numFmtId="0" fontId="135" fillId="0" borderId="2" applyNumberFormat="0" applyFont="0" applyBorder="0" applyAlignment="0">
      <alignment horizontal="center"/>
    </xf>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22" borderId="0"/>
    <xf numFmtId="0" fontId="133" fillId="0" borderId="0">
      <alignment wrapText="1"/>
    </xf>
    <xf numFmtId="0" fontId="133" fillId="0" borderId="0">
      <alignment wrapText="1"/>
    </xf>
    <xf numFmtId="0" fontId="133" fillId="0" borderId="0">
      <alignment wrapText="1"/>
    </xf>
    <xf numFmtId="0" fontId="133" fillId="0" borderId="0">
      <alignment wrapText="1"/>
    </xf>
    <xf numFmtId="0" fontId="133" fillId="0" borderId="0">
      <alignment wrapText="1"/>
    </xf>
    <xf numFmtId="0" fontId="133" fillId="0" borderId="0">
      <alignment wrapText="1"/>
    </xf>
    <xf numFmtId="0" fontId="133" fillId="0" borderId="0">
      <alignment wrapText="1"/>
    </xf>
    <xf numFmtId="0" fontId="133" fillId="0" borderId="0">
      <alignment wrapText="1"/>
    </xf>
    <xf numFmtId="0" fontId="133" fillId="0" borderId="0">
      <alignment wrapText="1"/>
    </xf>
    <xf numFmtId="0" fontId="133" fillId="0" borderId="0">
      <alignment wrapText="1"/>
    </xf>
    <xf numFmtId="0" fontId="133" fillId="0" borderId="0">
      <alignment wrapText="1"/>
    </xf>
    <xf numFmtId="0" fontId="133" fillId="0" borderId="0">
      <alignment wrapText="1"/>
    </xf>
    <xf numFmtId="0" fontId="133" fillId="0" borderId="0">
      <alignment wrapText="1"/>
    </xf>
    <xf numFmtId="0" fontId="133" fillId="0" borderId="0">
      <alignment wrapText="1"/>
    </xf>
    <xf numFmtId="0" fontId="133" fillId="0" borderId="0">
      <alignment wrapText="1"/>
    </xf>
    <xf numFmtId="0" fontId="133" fillId="0" borderId="0">
      <alignment wrapText="1"/>
    </xf>
    <xf numFmtId="0" fontId="133" fillId="0" borderId="0">
      <alignment wrapText="1"/>
    </xf>
    <xf numFmtId="0" fontId="133" fillId="0" borderId="0">
      <alignment wrapText="1"/>
    </xf>
    <xf numFmtId="0" fontId="133" fillId="0" borderId="0">
      <alignment wrapText="1"/>
    </xf>
    <xf numFmtId="0" fontId="133" fillId="0" borderId="0">
      <alignment wrapText="1"/>
    </xf>
    <xf numFmtId="0" fontId="133" fillId="0" borderId="0">
      <alignment wrapText="1"/>
    </xf>
    <xf numFmtId="0" fontId="133" fillId="0" borderId="0">
      <alignment wrapText="1"/>
    </xf>
    <xf numFmtId="0" fontId="133" fillId="0" borderId="0">
      <alignment wrapText="1"/>
    </xf>
    <xf numFmtId="0" fontId="133" fillId="0" borderId="0">
      <alignment wrapText="1"/>
    </xf>
    <xf numFmtId="0" fontId="133" fillId="0" borderId="0">
      <alignment wrapText="1"/>
    </xf>
    <xf numFmtId="169" fontId="137" fillId="0" borderId="1" applyNumberFormat="0" applyFont="0" applyBorder="0" applyAlignment="0">
      <alignment horizontal="center" vertical="center"/>
    </xf>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38" fillId="0" borderId="0"/>
    <xf numFmtId="0" fontId="138" fillId="0" borderId="0"/>
    <xf numFmtId="0" fontId="138" fillId="0" borderId="0"/>
    <xf numFmtId="0" fontId="138" fillId="0" borderId="0"/>
    <xf numFmtId="0" fontId="138" fillId="0" borderId="0"/>
    <xf numFmtId="0" fontId="51" fillId="0" borderId="0">
      <alignment horizontal="center" wrapText="1"/>
      <protection locked="0"/>
    </xf>
    <xf numFmtId="238" fontId="40" fillId="0" borderId="0" applyFont="0" applyFill="0" applyBorder="0" applyAlignment="0" applyProtection="0"/>
    <xf numFmtId="0" fontId="139" fillId="0" borderId="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7" fontId="5" fillId="0" borderId="0" applyFill="0" applyBorder="0" applyAlignment="0"/>
    <xf numFmtId="257" fontId="5" fillId="0" borderId="0" applyFill="0" applyBorder="0" applyAlignment="0"/>
    <xf numFmtId="257" fontId="5" fillId="0" borderId="0" applyFill="0" applyBorder="0" applyAlignment="0"/>
    <xf numFmtId="257" fontId="5" fillId="0" borderId="0" applyFill="0" applyBorder="0" applyAlignment="0"/>
    <xf numFmtId="257" fontId="5" fillId="0" borderId="0" applyFill="0" applyBorder="0" applyAlignment="0"/>
    <xf numFmtId="257" fontId="5" fillId="0" borderId="0" applyFill="0" applyBorder="0" applyAlignment="0"/>
    <xf numFmtId="257" fontId="5" fillId="0" borderId="0" applyFill="0" applyBorder="0" applyAlignment="0"/>
    <xf numFmtId="257" fontId="5" fillId="0" borderId="0" applyFill="0" applyBorder="0" applyAlignment="0"/>
    <xf numFmtId="257" fontId="5" fillId="0" borderId="0" applyFill="0" applyBorder="0" applyAlignment="0"/>
    <xf numFmtId="257" fontId="5" fillId="0" borderId="0" applyFill="0" applyBorder="0" applyAlignment="0"/>
    <xf numFmtId="257" fontId="5" fillId="0" borderId="0" applyFill="0" applyBorder="0" applyAlignment="0"/>
    <xf numFmtId="257" fontId="5" fillId="0" borderId="0" applyFill="0" applyBorder="0" applyAlignment="0"/>
    <xf numFmtId="257" fontId="5" fillId="0" borderId="0" applyFill="0" applyBorder="0" applyAlignment="0"/>
    <xf numFmtId="257" fontId="5" fillId="0" borderId="0" applyFill="0" applyBorder="0" applyAlignment="0"/>
    <xf numFmtId="257" fontId="5" fillId="0" borderId="0" applyFill="0" applyBorder="0" applyAlignment="0"/>
    <xf numFmtId="258" fontId="5" fillId="0" borderId="0" applyFill="0" applyBorder="0" applyAlignment="0"/>
    <xf numFmtId="258" fontId="5" fillId="0" borderId="0" applyFill="0" applyBorder="0" applyAlignment="0"/>
    <xf numFmtId="258" fontId="5" fillId="0" borderId="0" applyFill="0" applyBorder="0" applyAlignment="0"/>
    <xf numFmtId="258" fontId="5" fillId="0" borderId="0" applyFill="0" applyBorder="0" applyAlignment="0"/>
    <xf numFmtId="258" fontId="5" fillId="0" borderId="0" applyFill="0" applyBorder="0" applyAlignment="0"/>
    <xf numFmtId="258" fontId="5" fillId="0" borderId="0" applyFill="0" applyBorder="0" applyAlignment="0"/>
    <xf numFmtId="258" fontId="5" fillId="0" borderId="0" applyFill="0" applyBorder="0" applyAlignment="0"/>
    <xf numFmtId="258" fontId="5" fillId="0" borderId="0" applyFill="0" applyBorder="0" applyAlignment="0"/>
    <xf numFmtId="258" fontId="5" fillId="0" borderId="0" applyFill="0" applyBorder="0" applyAlignment="0"/>
    <xf numFmtId="258" fontId="5" fillId="0" borderId="0" applyFill="0" applyBorder="0" applyAlignment="0"/>
    <xf numFmtId="258" fontId="5" fillId="0" borderId="0" applyFill="0" applyBorder="0" applyAlignment="0"/>
    <xf numFmtId="258" fontId="5" fillId="0" borderId="0" applyFill="0" applyBorder="0" applyAlignment="0"/>
    <xf numFmtId="258" fontId="5" fillId="0" borderId="0" applyFill="0" applyBorder="0" applyAlignment="0"/>
    <xf numFmtId="258" fontId="5" fillId="0" borderId="0" applyFill="0" applyBorder="0" applyAlignment="0"/>
    <xf numFmtId="258" fontId="5" fillId="0" borderId="0" applyFill="0" applyBorder="0" applyAlignment="0"/>
    <xf numFmtId="259" fontId="5" fillId="0" borderId="0" applyFill="0" applyBorder="0" applyAlignment="0"/>
    <xf numFmtId="259" fontId="5" fillId="0" borderId="0" applyFill="0" applyBorder="0" applyAlignment="0"/>
    <xf numFmtId="259" fontId="5" fillId="0" borderId="0" applyFill="0" applyBorder="0" applyAlignment="0"/>
    <xf numFmtId="259" fontId="5" fillId="0" borderId="0" applyFill="0" applyBorder="0" applyAlignment="0"/>
    <xf numFmtId="259" fontId="5" fillId="0" borderId="0" applyFill="0" applyBorder="0" applyAlignment="0"/>
    <xf numFmtId="259" fontId="5" fillId="0" borderId="0" applyFill="0" applyBorder="0" applyAlignment="0"/>
    <xf numFmtId="259" fontId="5" fillId="0" borderId="0" applyFill="0" applyBorder="0" applyAlignment="0"/>
    <xf numFmtId="259" fontId="5" fillId="0" borderId="0" applyFill="0" applyBorder="0" applyAlignment="0"/>
    <xf numFmtId="259" fontId="5" fillId="0" borderId="0" applyFill="0" applyBorder="0" applyAlignment="0"/>
    <xf numFmtId="259" fontId="5" fillId="0" borderId="0" applyFill="0" applyBorder="0" applyAlignment="0"/>
    <xf numFmtId="259" fontId="5" fillId="0" borderId="0" applyFill="0" applyBorder="0" applyAlignment="0"/>
    <xf numFmtId="259" fontId="5" fillId="0" borderId="0" applyFill="0" applyBorder="0" applyAlignment="0"/>
    <xf numFmtId="259" fontId="5" fillId="0" borderId="0" applyFill="0" applyBorder="0" applyAlignment="0"/>
    <xf numFmtId="259"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0" fontId="68" fillId="0" borderId="0" applyFill="0" applyBorder="0" applyProtection="0">
      <alignment horizontal="center"/>
      <protection locked="0"/>
    </xf>
    <xf numFmtId="0" fontId="140" fillId="0" borderId="3">
      <alignment horizontal="center"/>
    </xf>
    <xf numFmtId="262" fontId="5" fillId="0" borderId="0" applyFont="0" applyFill="0" applyBorder="0" applyAlignment="0" applyProtection="0"/>
    <xf numFmtId="262" fontId="5" fillId="0" borderId="0" applyFont="0" applyFill="0" applyBorder="0" applyAlignment="0" applyProtection="0"/>
    <xf numFmtId="262" fontId="5" fillId="0" borderId="0" applyFont="0" applyFill="0" applyBorder="0" applyAlignment="0" applyProtection="0"/>
    <xf numFmtId="262" fontId="5" fillId="0" borderId="0" applyFont="0" applyFill="0" applyBorder="0" applyAlignment="0" applyProtection="0"/>
    <xf numFmtId="262" fontId="5" fillId="0" borderId="0" applyFont="0" applyFill="0" applyBorder="0" applyAlignment="0" applyProtection="0"/>
    <xf numFmtId="262" fontId="5" fillId="0" borderId="0" applyFont="0" applyFill="0" applyBorder="0" applyAlignment="0" applyProtection="0"/>
    <xf numFmtId="262" fontId="5" fillId="0" borderId="0" applyFont="0" applyFill="0" applyBorder="0" applyAlignment="0" applyProtection="0"/>
    <xf numFmtId="262" fontId="5" fillId="0" borderId="0" applyFont="0" applyFill="0" applyBorder="0" applyAlignment="0" applyProtection="0"/>
    <xf numFmtId="262" fontId="5" fillId="0" borderId="0" applyFont="0" applyFill="0" applyBorder="0" applyAlignment="0" applyProtection="0"/>
    <xf numFmtId="262" fontId="5" fillId="0" borderId="0" applyFont="0" applyFill="0" applyBorder="0" applyAlignment="0" applyProtection="0"/>
    <xf numFmtId="262" fontId="5" fillId="0" borderId="0" applyFont="0" applyFill="0" applyBorder="0" applyAlignment="0" applyProtection="0"/>
    <xf numFmtId="262" fontId="5" fillId="0" borderId="0" applyFont="0" applyFill="0" applyBorder="0" applyAlignment="0" applyProtection="0"/>
    <xf numFmtId="262" fontId="5" fillId="0" borderId="0" applyFont="0" applyFill="0" applyBorder="0" applyAlignment="0" applyProtection="0"/>
    <xf numFmtId="262" fontId="5" fillId="0" borderId="0" applyFont="0" applyFill="0" applyBorder="0" applyAlignment="0" applyProtection="0"/>
    <xf numFmtId="262" fontId="5" fillId="0" borderId="0" applyFont="0" applyFill="0" applyBorder="0" applyAlignment="0" applyProtection="0"/>
    <xf numFmtId="41" fontId="5" fillId="0" borderId="0" applyFont="0" applyFill="0" applyBorder="0" applyAlignment="0" applyProtection="0"/>
    <xf numFmtId="41" fontId="141" fillId="0" borderId="0" applyFont="0" applyFill="0" applyBorder="0" applyAlignment="0" applyProtection="0"/>
    <xf numFmtId="178" fontId="138"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24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263" fontId="65" fillId="0" borderId="0" applyProtection="0"/>
    <xf numFmtId="263" fontId="65" fillId="0" borderId="0" applyProtection="0"/>
    <xf numFmtId="24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6" fontId="65" fillId="0" borderId="0" applyFont="0" applyFill="0" applyBorder="0" applyAlignment="0" applyProtection="0"/>
    <xf numFmtId="179" fontId="65" fillId="0" borderId="0" applyFont="0" applyFill="0" applyBorder="0" applyAlignment="0" applyProtection="0"/>
    <xf numFmtId="41" fontId="6" fillId="0" borderId="0" applyFont="0" applyFill="0" applyBorder="0" applyAlignment="0" applyProtection="0"/>
    <xf numFmtId="178" fontId="6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260" fontId="5" fillId="0" borderId="0" applyFont="0" applyFill="0" applyBorder="0" applyAlignment="0" applyProtection="0"/>
    <xf numFmtId="260" fontId="5" fillId="0" borderId="0" applyFont="0" applyFill="0" applyBorder="0" applyAlignment="0" applyProtection="0"/>
    <xf numFmtId="260" fontId="5" fillId="0" borderId="0" applyFont="0" applyFill="0" applyBorder="0" applyAlignment="0" applyProtection="0"/>
    <xf numFmtId="260" fontId="5" fillId="0" borderId="0" applyFont="0" applyFill="0" applyBorder="0" applyAlignment="0" applyProtection="0"/>
    <xf numFmtId="260" fontId="5" fillId="0" borderId="0" applyFont="0" applyFill="0" applyBorder="0" applyAlignment="0" applyProtection="0"/>
    <xf numFmtId="260" fontId="5" fillId="0" borderId="0" applyFont="0" applyFill="0" applyBorder="0" applyAlignment="0" applyProtection="0"/>
    <xf numFmtId="260" fontId="5" fillId="0" borderId="0" applyFont="0" applyFill="0" applyBorder="0" applyAlignment="0" applyProtection="0"/>
    <xf numFmtId="260" fontId="5" fillId="0" borderId="0" applyFont="0" applyFill="0" applyBorder="0" applyAlignment="0" applyProtection="0"/>
    <xf numFmtId="260" fontId="5" fillId="0" borderId="0" applyFont="0" applyFill="0" applyBorder="0" applyAlignment="0" applyProtection="0"/>
    <xf numFmtId="260" fontId="5" fillId="0" borderId="0" applyFont="0" applyFill="0" applyBorder="0" applyAlignment="0" applyProtection="0"/>
    <xf numFmtId="260" fontId="5" fillId="0" borderId="0" applyFont="0" applyFill="0" applyBorder="0" applyAlignment="0" applyProtection="0"/>
    <xf numFmtId="260" fontId="5" fillId="0" borderId="0" applyFont="0" applyFill="0" applyBorder="0" applyAlignment="0" applyProtection="0"/>
    <xf numFmtId="260" fontId="5" fillId="0" borderId="0" applyFont="0" applyFill="0" applyBorder="0" applyAlignment="0" applyProtection="0"/>
    <xf numFmtId="260" fontId="5" fillId="0" borderId="0" applyFont="0" applyFill="0" applyBorder="0" applyAlignment="0" applyProtection="0"/>
    <xf numFmtId="264" fontId="118" fillId="0" borderId="0" applyFont="0" applyFill="0" applyBorder="0" applyAlignment="0" applyProtection="0"/>
    <xf numFmtId="265" fontId="65" fillId="0" borderId="0" applyFont="0" applyFill="0" applyBorder="0" applyAlignment="0" applyProtection="0"/>
    <xf numFmtId="266" fontId="142" fillId="0" borderId="0" applyFont="0" applyFill="0" applyBorder="0" applyAlignment="0" applyProtection="0"/>
    <xf numFmtId="267" fontId="65" fillId="0" borderId="0" applyFont="0" applyFill="0" applyBorder="0" applyAlignment="0" applyProtection="0"/>
    <xf numFmtId="268" fontId="142" fillId="0" borderId="0" applyFont="0" applyFill="0" applyBorder="0" applyAlignment="0" applyProtection="0"/>
    <xf numFmtId="269" fontId="65"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23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39" fontId="6" fillId="0" borderId="0" applyFont="0" applyFill="0" applyBorder="0" applyAlignment="0" applyProtection="0"/>
    <xf numFmtId="270" fontId="6" fillId="0" borderId="0" applyFont="0" applyFill="0" applyBorder="0" applyAlignment="0" applyProtection="0"/>
    <xf numFmtId="43" fontId="6" fillId="0" borderId="0" applyFont="0" applyFill="0" applyBorder="0" applyAlignment="0" applyProtection="0"/>
    <xf numFmtId="271" fontId="6" fillId="0" borderId="0" applyFont="0" applyFill="0" applyBorder="0" applyAlignment="0" applyProtection="0"/>
    <xf numFmtId="17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71" fontId="6" fillId="0" borderId="0" applyFont="0" applyFill="0" applyBorder="0" applyAlignment="0" applyProtection="0"/>
    <xf numFmtId="272"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5"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43" fontId="143" fillId="0" borderId="0" applyFont="0" applyFill="0" applyBorder="0" applyAlignment="0" applyProtection="0"/>
    <xf numFmtId="43" fontId="6" fillId="0" borderId="0" applyFont="0" applyFill="0" applyBorder="0" applyAlignment="0" applyProtection="0"/>
    <xf numFmtId="0"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43" fontId="3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179"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273" fontId="6" fillId="0" borderId="0" applyFont="0" applyFill="0" applyBorder="0" applyAlignment="0" applyProtection="0"/>
    <xf numFmtId="274" fontId="6" fillId="0" borderId="0" applyFont="0" applyFill="0" applyBorder="0" applyAlignment="0" applyProtection="0"/>
    <xf numFmtId="273" fontId="6" fillId="0" borderId="0" applyFont="0" applyFill="0" applyBorder="0" applyAlignment="0" applyProtection="0"/>
    <xf numFmtId="43" fontId="144" fillId="0" borderId="0" applyFont="0" applyFill="0" applyBorder="0" applyAlignment="0" applyProtection="0"/>
    <xf numFmtId="275" fontId="5"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276" fontId="59" fillId="0" borderId="0" applyFont="0" applyFill="0" applyBorder="0" applyAlignment="0" applyProtection="0"/>
    <xf numFmtId="165"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Font="0" applyFill="0" applyBorder="0" applyAlignment="0" applyProtection="0"/>
    <xf numFmtId="43" fontId="5" fillId="0" borderId="0" applyFont="0" applyFill="0" applyBorder="0" applyAlignment="0" applyProtection="0"/>
    <xf numFmtId="277" fontId="65" fillId="0" borderId="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4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9" fontId="65" fillId="0" borderId="0" applyProtection="0"/>
    <xf numFmtId="43"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40" fontId="19"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4"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277" fontId="65" fillId="0" borderId="0" applyProtection="0"/>
    <xf numFmtId="277" fontId="65" fillId="0" borderId="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8" fillId="0" borderId="0" applyFont="0" applyFill="0" applyBorder="0" applyAlignment="0" applyProtection="0"/>
    <xf numFmtId="43" fontId="145" fillId="0" borderId="0" applyFont="0" applyFill="0" applyBorder="0" applyAlignment="0" applyProtection="0"/>
    <xf numFmtId="43" fontId="14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0"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44"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167" fontId="6"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79" fontId="5" fillId="0" borderId="0" applyFont="0" applyFill="0" applyBorder="0" applyAlignment="0" applyProtection="0"/>
    <xf numFmtId="179" fontId="65" fillId="0" borderId="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1" fillId="0" borderId="0" applyFont="0" applyFill="0" applyBorder="0" applyAlignment="0" applyProtection="0"/>
    <xf numFmtId="43" fontId="4" fillId="0" borderId="0" applyFont="0" applyFill="0" applyBorder="0" applyAlignment="0" applyProtection="0"/>
    <xf numFmtId="43" fontId="144" fillId="0" borderId="0" applyFont="0" applyFill="0" applyBorder="0" applyAlignment="0" applyProtection="0"/>
    <xf numFmtId="43" fontId="33" fillId="0" borderId="0" applyFont="0" applyFill="0" applyBorder="0" applyAlignment="0" applyProtection="0"/>
    <xf numFmtId="43" fontId="13" fillId="0" borderId="0" applyFont="0" applyFill="0" applyBorder="0" applyAlignment="0" applyProtection="0"/>
    <xf numFmtId="197" fontId="6" fillId="0" borderId="0" applyFont="0" applyFill="0" applyBorder="0" applyAlignment="0" applyProtection="0"/>
    <xf numFmtId="43" fontId="144" fillId="0" borderId="0" applyFont="0" applyFill="0" applyBorder="0" applyAlignment="0" applyProtection="0"/>
    <xf numFmtId="179"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65" fillId="0" borderId="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0" fontId="123" fillId="0" borderId="0" applyNumberFormat="0" applyFill="0" applyBorder="0" applyAlignment="0" applyProtection="0"/>
    <xf numFmtId="0" fontId="146" fillId="0" borderId="0">
      <alignment horizontal="center"/>
    </xf>
    <xf numFmtId="182" fontId="147" fillId="0" borderId="0" applyFont="0" applyFill="0" applyBorder="0" applyAlignment="0" applyProtection="0"/>
    <xf numFmtId="278" fontId="148" fillId="0" borderId="0" applyFill="0" applyBorder="0" applyProtection="0"/>
    <xf numFmtId="279" fontId="118" fillId="0" borderId="0" applyFont="0" applyFill="0" applyBorder="0" applyAlignment="0" applyProtection="0"/>
    <xf numFmtId="280" fontId="33" fillId="0" borderId="0" applyFill="0" applyBorder="0" applyProtection="0"/>
    <xf numFmtId="280" fontId="33" fillId="0" borderId="42" applyFill="0" applyProtection="0"/>
    <xf numFmtId="280" fontId="33" fillId="0" borderId="45" applyFill="0" applyProtection="0"/>
    <xf numFmtId="281" fontId="149" fillId="0" borderId="0" applyFont="0" applyFill="0" applyBorder="0" applyAlignment="0" applyProtection="0"/>
    <xf numFmtId="282" fontId="5" fillId="0" borderId="0" applyFont="0" applyFill="0" applyBorder="0" applyAlignment="0" applyProtection="0"/>
    <xf numFmtId="283" fontId="5" fillId="0" borderId="0" applyFont="0" applyFill="0" applyBorder="0" applyAlignment="0" applyProtection="0"/>
    <xf numFmtId="283" fontId="5" fillId="0" borderId="0" applyFont="0" applyFill="0" applyBorder="0" applyAlignment="0" applyProtection="0"/>
    <xf numFmtId="283" fontId="5" fillId="0" borderId="0" applyFont="0" applyFill="0" applyBorder="0" applyAlignment="0" applyProtection="0"/>
    <xf numFmtId="283" fontId="5" fillId="0" borderId="0" applyFont="0" applyFill="0" applyBorder="0" applyAlignment="0" applyProtection="0"/>
    <xf numFmtId="283" fontId="5" fillId="0" borderId="0" applyFont="0" applyFill="0" applyBorder="0" applyAlignment="0" applyProtection="0"/>
    <xf numFmtId="283" fontId="5" fillId="0" borderId="0" applyFont="0" applyFill="0" applyBorder="0" applyAlignment="0" applyProtection="0"/>
    <xf numFmtId="283" fontId="5" fillId="0" borderId="0" applyFont="0" applyFill="0" applyBorder="0" applyAlignment="0" applyProtection="0"/>
    <xf numFmtId="283" fontId="5" fillId="0" borderId="0" applyFont="0" applyFill="0" applyBorder="0" applyAlignment="0" applyProtection="0"/>
    <xf numFmtId="283" fontId="5" fillId="0" borderId="0" applyFont="0" applyFill="0" applyBorder="0" applyAlignment="0" applyProtection="0"/>
    <xf numFmtId="283" fontId="5" fillId="0" borderId="0" applyFont="0" applyFill="0" applyBorder="0" applyAlignment="0" applyProtection="0"/>
    <xf numFmtId="283" fontId="5" fillId="0" borderId="0" applyFont="0" applyFill="0" applyBorder="0" applyAlignment="0" applyProtection="0"/>
    <xf numFmtId="283" fontId="5" fillId="0" borderId="0" applyFont="0" applyFill="0" applyBorder="0" applyAlignment="0" applyProtection="0"/>
    <xf numFmtId="283" fontId="5" fillId="0" borderId="0" applyFont="0" applyFill="0" applyBorder="0" applyAlignment="0" applyProtection="0"/>
    <xf numFmtId="283" fontId="5" fillId="0" borderId="0" applyFont="0" applyFill="0" applyBorder="0" applyAlignment="0" applyProtection="0"/>
    <xf numFmtId="283" fontId="5" fillId="0" borderId="0" applyFont="0" applyFill="0" applyBorder="0" applyAlignment="0" applyProtection="0"/>
    <xf numFmtId="284" fontId="149" fillId="0" borderId="0" applyFont="0" applyFill="0" applyBorder="0" applyAlignment="0" applyProtection="0"/>
    <xf numFmtId="256" fontId="5" fillId="0" borderId="0" applyFont="0" applyFill="0" applyBorder="0" applyAlignment="0" applyProtection="0"/>
    <xf numFmtId="256" fontId="5" fillId="0" borderId="0" applyFont="0" applyFill="0" applyBorder="0" applyAlignment="0" applyProtection="0"/>
    <xf numFmtId="256" fontId="5" fillId="0" borderId="0" applyFont="0" applyFill="0" applyBorder="0" applyAlignment="0" applyProtection="0"/>
    <xf numFmtId="256" fontId="5" fillId="0" borderId="0" applyFont="0" applyFill="0" applyBorder="0" applyAlignment="0" applyProtection="0"/>
    <xf numFmtId="256" fontId="5" fillId="0" borderId="0" applyFont="0" applyFill="0" applyBorder="0" applyAlignment="0" applyProtection="0"/>
    <xf numFmtId="256" fontId="5" fillId="0" borderId="0" applyFont="0" applyFill="0" applyBorder="0" applyAlignment="0" applyProtection="0"/>
    <xf numFmtId="256" fontId="5" fillId="0" borderId="0" applyFont="0" applyFill="0" applyBorder="0" applyAlignment="0" applyProtection="0"/>
    <xf numFmtId="256" fontId="5" fillId="0" borderId="0" applyFont="0" applyFill="0" applyBorder="0" applyAlignment="0" applyProtection="0"/>
    <xf numFmtId="256" fontId="5" fillId="0" borderId="0" applyFont="0" applyFill="0" applyBorder="0" applyAlignment="0" applyProtection="0"/>
    <xf numFmtId="256" fontId="5" fillId="0" borderId="0" applyFont="0" applyFill="0" applyBorder="0" applyAlignment="0" applyProtection="0"/>
    <xf numFmtId="256" fontId="5" fillId="0" borderId="0" applyFont="0" applyFill="0" applyBorder="0" applyAlignment="0" applyProtection="0"/>
    <xf numFmtId="256" fontId="5" fillId="0" borderId="0" applyFont="0" applyFill="0" applyBorder="0" applyAlignment="0" applyProtection="0"/>
    <xf numFmtId="256" fontId="5" fillId="0" borderId="0" applyFont="0" applyFill="0" applyBorder="0" applyAlignment="0" applyProtection="0"/>
    <xf numFmtId="256" fontId="5" fillId="0" borderId="0" applyFont="0" applyFill="0" applyBorder="0" applyAlignment="0" applyProtection="0"/>
    <xf numFmtId="285" fontId="142" fillId="0" borderId="0" applyFont="0" applyFill="0" applyBorder="0" applyAlignment="0" applyProtection="0"/>
    <xf numFmtId="286" fontId="65" fillId="0" borderId="0" applyFont="0" applyFill="0" applyBorder="0" applyAlignment="0" applyProtection="0"/>
    <xf numFmtId="287" fontId="142" fillId="0" borderId="0" applyFont="0" applyFill="0" applyBorder="0" applyAlignment="0" applyProtection="0"/>
    <xf numFmtId="288" fontId="65" fillId="0" borderId="0" applyFont="0" applyFill="0" applyBorder="0" applyAlignment="0" applyProtection="0"/>
    <xf numFmtId="289" fontId="142" fillId="0" borderId="0" applyFont="0" applyFill="0" applyBorder="0" applyAlignment="0" applyProtection="0"/>
    <xf numFmtId="290" fontId="65" fillId="0" borderId="0" applyFont="0" applyFill="0" applyBorder="0" applyAlignment="0" applyProtection="0"/>
    <xf numFmtId="44" fontId="6" fillId="0" borderId="0" applyFont="0" applyFill="0" applyBorder="0" applyAlignment="0" applyProtection="0"/>
    <xf numFmtId="291" fontId="5" fillId="0" borderId="0" applyFont="0" applyFill="0" applyBorder="0" applyAlignment="0" applyProtection="0"/>
    <xf numFmtId="291" fontId="5" fillId="0" borderId="0" applyFont="0" applyFill="0" applyBorder="0" applyAlignment="0" applyProtection="0"/>
    <xf numFmtId="291" fontId="5" fillId="0" borderId="0" applyFont="0" applyFill="0" applyBorder="0" applyAlignment="0" applyProtection="0"/>
    <xf numFmtId="291" fontId="5" fillId="0" borderId="0" applyFont="0" applyFill="0" applyBorder="0" applyAlignment="0" applyProtection="0"/>
    <xf numFmtId="291" fontId="5" fillId="0" borderId="0" applyFont="0" applyFill="0" applyBorder="0" applyAlignment="0" applyProtection="0"/>
    <xf numFmtId="291" fontId="5" fillId="0" borderId="0" applyFont="0" applyFill="0" applyBorder="0" applyAlignment="0" applyProtection="0"/>
    <xf numFmtId="291" fontId="5" fillId="0" borderId="0" applyFont="0" applyFill="0" applyBorder="0" applyAlignment="0" applyProtection="0"/>
    <xf numFmtId="291" fontId="5" fillId="0" borderId="0" applyFont="0" applyFill="0" applyBorder="0" applyAlignment="0" applyProtection="0"/>
    <xf numFmtId="291" fontId="5" fillId="0" borderId="0" applyFont="0" applyFill="0" applyBorder="0" applyAlignment="0" applyProtection="0"/>
    <xf numFmtId="291" fontId="5" fillId="0" borderId="0" applyFont="0" applyFill="0" applyBorder="0" applyAlignment="0" applyProtection="0"/>
    <xf numFmtId="291" fontId="5" fillId="0" borderId="0" applyFont="0" applyFill="0" applyBorder="0" applyAlignment="0" applyProtection="0"/>
    <xf numFmtId="291" fontId="5" fillId="0" borderId="0" applyFont="0" applyFill="0" applyBorder="0" applyAlignment="0" applyProtection="0"/>
    <xf numFmtId="291" fontId="5" fillId="0" borderId="0" applyFont="0" applyFill="0" applyBorder="0" applyAlignment="0" applyProtection="0"/>
    <xf numFmtId="291" fontId="5" fillId="0" borderId="0" applyFont="0" applyFill="0" applyBorder="0" applyAlignment="0" applyProtection="0"/>
    <xf numFmtId="291" fontId="5" fillId="0" borderId="0" applyFont="0" applyFill="0" applyBorder="0" applyAlignment="0" applyProtection="0"/>
    <xf numFmtId="292" fontId="5" fillId="0" borderId="0" applyFont="0" applyFill="0" applyBorder="0" applyAlignment="0" applyProtection="0"/>
    <xf numFmtId="203" fontId="5" fillId="0" borderId="0" applyFont="0" applyFill="0" applyBorder="0" applyAlignment="0" applyProtection="0"/>
    <xf numFmtId="203" fontId="5" fillId="0" borderId="0" applyFont="0" applyFill="0" applyBorder="0" applyAlignment="0" applyProtection="0"/>
    <xf numFmtId="203" fontId="5" fillId="0" borderId="0" applyFont="0" applyFill="0" applyBorder="0" applyAlignment="0" applyProtection="0"/>
    <xf numFmtId="203" fontId="5" fillId="0" borderId="0" applyFont="0" applyFill="0" applyBorder="0" applyAlignment="0" applyProtection="0"/>
    <xf numFmtId="203" fontId="5" fillId="0" borderId="0" applyFont="0" applyFill="0" applyBorder="0" applyAlignment="0" applyProtection="0"/>
    <xf numFmtId="203" fontId="5" fillId="0" borderId="0" applyFont="0" applyFill="0" applyBorder="0" applyAlignment="0" applyProtection="0"/>
    <xf numFmtId="203" fontId="5" fillId="0" borderId="0" applyFont="0" applyFill="0" applyBorder="0" applyAlignment="0" applyProtection="0"/>
    <xf numFmtId="203" fontId="5" fillId="0" borderId="0" applyFont="0" applyFill="0" applyBorder="0" applyAlignment="0" applyProtection="0"/>
    <xf numFmtId="293" fontId="65" fillId="0" borderId="0" applyProtection="0"/>
    <xf numFmtId="203" fontId="5" fillId="0" borderId="0" applyFont="0" applyFill="0" applyBorder="0" applyAlignment="0" applyProtection="0"/>
    <xf numFmtId="203" fontId="5" fillId="0" borderId="0" applyFont="0" applyFill="0" applyBorder="0" applyAlignment="0" applyProtection="0"/>
    <xf numFmtId="203" fontId="5" fillId="0" borderId="0" applyFont="0" applyFill="0" applyBorder="0" applyAlignment="0" applyProtection="0"/>
    <xf numFmtId="203" fontId="5" fillId="0" borderId="0" applyFont="0" applyFill="0" applyBorder="0" applyAlignment="0" applyProtection="0"/>
    <xf numFmtId="203" fontId="5" fillId="0" borderId="0" applyFont="0" applyFill="0" applyBorder="0" applyAlignment="0" applyProtection="0"/>
    <xf numFmtId="203" fontId="5" fillId="0" borderId="0" applyFont="0" applyFill="0" applyBorder="0" applyAlignment="0" applyProtection="0"/>
    <xf numFmtId="203" fontId="5" fillId="0" borderId="0" applyFont="0" applyFill="0" applyBorder="0" applyAlignment="0" applyProtection="0"/>
    <xf numFmtId="294" fontId="5" fillId="0" borderId="0"/>
    <xf numFmtId="294" fontId="5" fillId="0" borderId="0"/>
    <xf numFmtId="294" fontId="5" fillId="0" borderId="0"/>
    <xf numFmtId="294" fontId="5" fillId="0" borderId="0"/>
    <xf numFmtId="294" fontId="5" fillId="0" borderId="0"/>
    <xf numFmtId="294" fontId="5" fillId="0" borderId="0"/>
    <xf numFmtId="294" fontId="5" fillId="0" borderId="0"/>
    <xf numFmtId="294" fontId="5" fillId="0" borderId="0" applyProtection="0"/>
    <xf numFmtId="294" fontId="5" fillId="0" borderId="0"/>
    <xf numFmtId="294" fontId="5" fillId="0" borderId="0"/>
    <xf numFmtId="294" fontId="5" fillId="0" borderId="0"/>
    <xf numFmtId="294" fontId="5" fillId="0" borderId="0"/>
    <xf numFmtId="294" fontId="5" fillId="0" borderId="0"/>
    <xf numFmtId="294" fontId="5" fillId="0" borderId="0"/>
    <xf numFmtId="294" fontId="5" fillId="0" borderId="0"/>
    <xf numFmtId="209" fontId="13" fillId="0" borderId="46"/>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65" fillId="0" borderId="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4" fontId="54" fillId="0" borderId="0" applyFill="0" applyBorder="0" applyAlignment="0"/>
    <xf numFmtId="0" fontId="59" fillId="0" borderId="0" applyProtection="0"/>
    <xf numFmtId="3" fontId="150" fillId="0" borderId="4">
      <alignment horizontal="left" vertical="top" wrapText="1"/>
    </xf>
    <xf numFmtId="43" fontId="144" fillId="0" borderId="0" applyFont="0" applyFill="0" applyBorder="0" applyAlignment="0" applyProtection="0"/>
    <xf numFmtId="295" fontId="33" fillId="0" borderId="0" applyFill="0" applyBorder="0" applyProtection="0"/>
    <xf numFmtId="295" fontId="33" fillId="0" borderId="42" applyFill="0" applyProtection="0"/>
    <xf numFmtId="295" fontId="33" fillId="0" borderId="45" applyFill="0" applyProtection="0"/>
    <xf numFmtId="296" fontId="5" fillId="0" borderId="47">
      <alignment vertical="center"/>
    </xf>
    <xf numFmtId="296" fontId="5" fillId="0" borderId="47">
      <alignment vertical="center"/>
    </xf>
    <xf numFmtId="296" fontId="5" fillId="0" borderId="47">
      <alignment vertical="center"/>
    </xf>
    <xf numFmtId="296" fontId="5" fillId="0" borderId="47">
      <alignment vertical="center"/>
    </xf>
    <xf numFmtId="296" fontId="5" fillId="0" borderId="47">
      <alignment vertical="center"/>
    </xf>
    <xf numFmtId="296" fontId="5" fillId="0" borderId="47">
      <alignment vertical="center"/>
    </xf>
    <xf numFmtId="296" fontId="5" fillId="0" borderId="47">
      <alignment vertical="center"/>
    </xf>
    <xf numFmtId="296" fontId="5" fillId="0" borderId="47">
      <alignment vertical="center"/>
    </xf>
    <xf numFmtId="296" fontId="5" fillId="0" borderId="47">
      <alignment vertical="center"/>
    </xf>
    <xf numFmtId="296" fontId="5" fillId="0" borderId="47">
      <alignment vertical="center"/>
    </xf>
    <xf numFmtId="296" fontId="5" fillId="0" borderId="47">
      <alignment vertical="center"/>
    </xf>
    <xf numFmtId="296" fontId="5" fillId="0" borderId="47">
      <alignment vertical="center"/>
    </xf>
    <xf numFmtId="296" fontId="5" fillId="0" borderId="47">
      <alignment vertical="center"/>
    </xf>
    <xf numFmtId="296" fontId="5" fillId="0" borderId="47">
      <alignment vertical="center"/>
    </xf>
    <xf numFmtId="296" fontId="5" fillId="0" borderId="47">
      <alignment vertical="center"/>
    </xf>
    <xf numFmtId="0" fontId="5" fillId="0" borderId="0" applyFont="0" applyFill="0" applyBorder="0" applyAlignment="0" applyProtection="0"/>
    <xf numFmtId="0" fontId="5" fillId="0" borderId="0" applyFont="0" applyFill="0" applyBorder="0" applyAlignment="0" applyProtection="0"/>
    <xf numFmtId="297" fontId="13" fillId="0" borderId="0"/>
    <xf numFmtId="298" fontId="50" fillId="0" borderId="2"/>
    <xf numFmtId="298" fontId="50" fillId="0" borderId="2"/>
    <xf numFmtId="275" fontId="5" fillId="0" borderId="0"/>
    <xf numFmtId="275" fontId="5" fillId="0" borderId="0"/>
    <xf numFmtId="275" fontId="5" fillId="0" borderId="0"/>
    <xf numFmtId="275" fontId="5" fillId="0" borderId="0"/>
    <xf numFmtId="275" fontId="5" fillId="0" borderId="0"/>
    <xf numFmtId="275" fontId="5" fillId="0" borderId="0"/>
    <xf numFmtId="275" fontId="5" fillId="0" borderId="0"/>
    <xf numFmtId="275" fontId="5" fillId="0" borderId="0" applyProtection="0"/>
    <xf numFmtId="275" fontId="5" fillId="0" borderId="0"/>
    <xf numFmtId="275" fontId="5" fillId="0" borderId="0"/>
    <xf numFmtId="275" fontId="5" fillId="0" borderId="0"/>
    <xf numFmtId="275" fontId="5" fillId="0" borderId="0"/>
    <xf numFmtId="275" fontId="5" fillId="0" borderId="0"/>
    <xf numFmtId="275" fontId="5" fillId="0" borderId="0"/>
    <xf numFmtId="275" fontId="5" fillId="0" borderId="0"/>
    <xf numFmtId="299" fontId="50" fillId="0" borderId="0"/>
    <xf numFmtId="300" fontId="4" fillId="0" borderId="0" applyFont="0" applyFill="0" applyBorder="0" applyAlignment="0" applyProtection="0"/>
    <xf numFmtId="300" fontId="4" fillId="0" borderId="0" applyFont="0" applyFill="0" applyBorder="0" applyAlignment="0" applyProtection="0"/>
    <xf numFmtId="41" fontId="151" fillId="0" borderId="0" applyFont="0" applyFill="0" applyBorder="0" applyAlignment="0" applyProtection="0"/>
    <xf numFmtId="41" fontId="151" fillId="0" borderId="0" applyFont="0" applyFill="0" applyBorder="0" applyAlignment="0" applyProtection="0"/>
    <xf numFmtId="300" fontId="4" fillId="0" borderId="0" applyFont="0" applyFill="0" applyBorder="0" applyAlignment="0" applyProtection="0"/>
    <xf numFmtId="300" fontId="4" fillId="0" borderId="0" applyFont="0" applyFill="0" applyBorder="0" applyAlignment="0" applyProtection="0"/>
    <xf numFmtId="300" fontId="4" fillId="0" borderId="0" applyFont="0" applyFill="0" applyBorder="0" applyAlignment="0" applyProtection="0"/>
    <xf numFmtId="300" fontId="4" fillId="0" borderId="0" applyFont="0" applyFill="0" applyBorder="0" applyAlignment="0" applyProtection="0"/>
    <xf numFmtId="301" fontId="13" fillId="0" borderId="0" applyFont="0" applyFill="0" applyBorder="0" applyAlignment="0" applyProtection="0"/>
    <xf numFmtId="301" fontId="13" fillId="0" borderId="0" applyFont="0" applyFill="0" applyBorder="0" applyAlignment="0" applyProtection="0"/>
    <xf numFmtId="302" fontId="13" fillId="0" borderId="0" applyFont="0" applyFill="0" applyBorder="0" applyAlignment="0" applyProtection="0"/>
    <xf numFmtId="302" fontId="13" fillId="0" borderId="0" applyFont="0" applyFill="0" applyBorder="0" applyAlignment="0" applyProtection="0"/>
    <xf numFmtId="41" fontId="152" fillId="0" borderId="0" applyFont="0" applyFill="0" applyBorder="0" applyAlignment="0" applyProtection="0"/>
    <xf numFmtId="41" fontId="152" fillId="0" borderId="0" applyFont="0" applyFill="0" applyBorder="0" applyAlignment="0" applyProtection="0"/>
    <xf numFmtId="41" fontId="152" fillId="0" borderId="0" applyFont="0" applyFill="0" applyBorder="0" applyAlignment="0" applyProtection="0"/>
    <xf numFmtId="41" fontId="152" fillId="0" borderId="0" applyFont="0" applyFill="0" applyBorder="0" applyAlignment="0" applyProtection="0"/>
    <xf numFmtId="41" fontId="151" fillId="0" borderId="0" applyFont="0" applyFill="0" applyBorder="0" applyAlignment="0" applyProtection="0"/>
    <xf numFmtId="41" fontId="151" fillId="0" borderId="0" applyFont="0" applyFill="0" applyBorder="0" applyAlignment="0" applyProtection="0"/>
    <xf numFmtId="164" fontId="152" fillId="0" borderId="0" applyFont="0" applyFill="0" applyBorder="0" applyAlignment="0" applyProtection="0"/>
    <xf numFmtId="41" fontId="152" fillId="0" borderId="0" applyFont="0" applyFill="0" applyBorder="0" applyAlignment="0" applyProtection="0"/>
    <xf numFmtId="164" fontId="152" fillId="0" borderId="0" applyFont="0" applyFill="0" applyBorder="0" applyAlignment="0" applyProtection="0"/>
    <xf numFmtId="164" fontId="152" fillId="0" borderId="0" applyFont="0" applyFill="0" applyBorder="0" applyAlignment="0" applyProtection="0"/>
    <xf numFmtId="41" fontId="152" fillId="0" borderId="0" applyFont="0" applyFill="0" applyBorder="0" applyAlignment="0" applyProtection="0"/>
    <xf numFmtId="41" fontId="152" fillId="0" borderId="0" applyFont="0" applyFill="0" applyBorder="0" applyAlignment="0" applyProtection="0"/>
    <xf numFmtId="41" fontId="152" fillId="0" borderId="0" applyFont="0" applyFill="0" applyBorder="0" applyAlignment="0" applyProtection="0"/>
    <xf numFmtId="303" fontId="4" fillId="0" borderId="0" applyFont="0" applyFill="0" applyBorder="0" applyAlignment="0" applyProtection="0"/>
    <xf numFmtId="303" fontId="4" fillId="0" borderId="0" applyFont="0" applyFill="0" applyBorder="0" applyAlignment="0" applyProtection="0"/>
    <xf numFmtId="43" fontId="151" fillId="0" borderId="0" applyFont="0" applyFill="0" applyBorder="0" applyAlignment="0" applyProtection="0"/>
    <xf numFmtId="43" fontId="151" fillId="0" borderId="0" applyFont="0" applyFill="0" applyBorder="0" applyAlignment="0" applyProtection="0"/>
    <xf numFmtId="303" fontId="4" fillId="0" borderId="0" applyFont="0" applyFill="0" applyBorder="0" applyAlignment="0" applyProtection="0"/>
    <xf numFmtId="303" fontId="4" fillId="0" borderId="0" applyFont="0" applyFill="0" applyBorder="0" applyAlignment="0" applyProtection="0"/>
    <xf numFmtId="303" fontId="4" fillId="0" borderId="0" applyFont="0" applyFill="0" applyBorder="0" applyAlignment="0" applyProtection="0"/>
    <xf numFmtId="303" fontId="4" fillId="0" borderId="0" applyFont="0" applyFill="0" applyBorder="0" applyAlignment="0" applyProtection="0"/>
    <xf numFmtId="304" fontId="13" fillId="0" borderId="0" applyFont="0" applyFill="0" applyBorder="0" applyAlignment="0" applyProtection="0"/>
    <xf numFmtId="304" fontId="13" fillId="0" borderId="0" applyFont="0" applyFill="0" applyBorder="0" applyAlignment="0" applyProtection="0"/>
    <xf numFmtId="305" fontId="13" fillId="0" borderId="0" applyFont="0" applyFill="0" applyBorder="0" applyAlignment="0" applyProtection="0"/>
    <xf numFmtId="305" fontId="13" fillId="0" borderId="0" applyFont="0" applyFill="0" applyBorder="0" applyAlignment="0" applyProtection="0"/>
    <xf numFmtId="43" fontId="152" fillId="0" borderId="0" applyFont="0" applyFill="0" applyBorder="0" applyAlignment="0" applyProtection="0"/>
    <xf numFmtId="43" fontId="152" fillId="0" borderId="0" applyFont="0" applyFill="0" applyBorder="0" applyAlignment="0" applyProtection="0"/>
    <xf numFmtId="43" fontId="152" fillId="0" borderId="0" applyFont="0" applyFill="0" applyBorder="0" applyAlignment="0" applyProtection="0"/>
    <xf numFmtId="43" fontId="152" fillId="0" borderId="0" applyFont="0" applyFill="0" applyBorder="0" applyAlignment="0" applyProtection="0"/>
    <xf numFmtId="43" fontId="151" fillId="0" borderId="0" applyFont="0" applyFill="0" applyBorder="0" applyAlignment="0" applyProtection="0"/>
    <xf numFmtId="43" fontId="151" fillId="0" borderId="0" applyFont="0" applyFill="0" applyBorder="0" applyAlignment="0" applyProtection="0"/>
    <xf numFmtId="165" fontId="152" fillId="0" borderId="0" applyFont="0" applyFill="0" applyBorder="0" applyAlignment="0" applyProtection="0"/>
    <xf numFmtId="43" fontId="152" fillId="0" borderId="0" applyFont="0" applyFill="0" applyBorder="0" applyAlignment="0" applyProtection="0"/>
    <xf numFmtId="165" fontId="152" fillId="0" borderId="0" applyFont="0" applyFill="0" applyBorder="0" applyAlignment="0" applyProtection="0"/>
    <xf numFmtId="165" fontId="152" fillId="0" borderId="0" applyFont="0" applyFill="0" applyBorder="0" applyAlignment="0" applyProtection="0"/>
    <xf numFmtId="43" fontId="152" fillId="0" borderId="0" applyFont="0" applyFill="0" applyBorder="0" applyAlignment="0" applyProtection="0"/>
    <xf numFmtId="43" fontId="152" fillId="0" borderId="0" applyFont="0" applyFill="0" applyBorder="0" applyAlignment="0" applyProtection="0"/>
    <xf numFmtId="43" fontId="152" fillId="0" borderId="0" applyFont="0" applyFill="0" applyBorder="0" applyAlignment="0" applyProtection="0"/>
    <xf numFmtId="3" fontId="13" fillId="0" borderId="0" applyFont="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306" fontId="5" fillId="0" borderId="0" applyFont="0" applyFill="0" applyBorder="0" applyAlignment="0" applyProtection="0"/>
    <xf numFmtId="306" fontId="5" fillId="0" borderId="0" applyFont="0" applyFill="0" applyBorder="0" applyAlignment="0" applyProtection="0"/>
    <xf numFmtId="306" fontId="5" fillId="0" borderId="0" applyFont="0" applyFill="0" applyBorder="0" applyAlignment="0" applyProtection="0"/>
    <xf numFmtId="306" fontId="5" fillId="0" borderId="0" applyFont="0" applyFill="0" applyBorder="0" applyAlignment="0" applyProtection="0"/>
    <xf numFmtId="306" fontId="5" fillId="0" borderId="0" applyFont="0" applyFill="0" applyBorder="0" applyAlignment="0" applyProtection="0"/>
    <xf numFmtId="306" fontId="5" fillId="0" borderId="0" applyFont="0" applyFill="0" applyBorder="0" applyAlignment="0" applyProtection="0"/>
    <xf numFmtId="306" fontId="5" fillId="0" borderId="0" applyFont="0" applyFill="0" applyBorder="0" applyAlignment="0" applyProtection="0"/>
    <xf numFmtId="306" fontId="5" fillId="0" borderId="0" applyFont="0" applyFill="0" applyBorder="0" applyAlignment="0" applyProtection="0"/>
    <xf numFmtId="306" fontId="5" fillId="0" borderId="0" applyFont="0" applyFill="0" applyBorder="0" applyAlignment="0" applyProtection="0"/>
    <xf numFmtId="306" fontId="5" fillId="0" borderId="0" applyFont="0" applyFill="0" applyBorder="0" applyAlignment="0" applyProtection="0"/>
    <xf numFmtId="306" fontId="5" fillId="0" borderId="0" applyFont="0" applyFill="0" applyBorder="0" applyAlignment="0" applyProtection="0"/>
    <xf numFmtId="306" fontId="5" fillId="0" borderId="0" applyFont="0" applyFill="0" applyBorder="0" applyAlignment="0" applyProtection="0"/>
    <xf numFmtId="0" fontId="39" fillId="0" borderId="0"/>
    <xf numFmtId="3" fontId="13" fillId="0" borderId="0" applyFont="0" applyBorder="0" applyAlignment="0"/>
    <xf numFmtId="0" fontId="5" fillId="0" borderId="0"/>
    <xf numFmtId="0" fontId="5" fillId="0" borderId="0"/>
    <xf numFmtId="0" fontId="5" fillId="0" borderId="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65" fillId="0" borderId="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0" fontId="153" fillId="0" borderId="0" applyNumberFormat="0" applyFill="0" applyBorder="0" applyAlignment="0" applyProtection="0"/>
    <xf numFmtId="0" fontId="154" fillId="0" borderId="0" applyNumberFormat="0" applyFill="0" applyBorder="0" applyProtection="0">
      <alignment vertical="center"/>
    </xf>
    <xf numFmtId="0" fontId="155" fillId="0" borderId="0" applyNumberFormat="0" applyFill="0" applyBorder="0" applyAlignment="0" applyProtection="0"/>
    <xf numFmtId="0" fontId="156" fillId="0" borderId="0" applyNumberFormat="0" applyFill="0" applyBorder="0" applyProtection="0">
      <alignment vertical="center"/>
    </xf>
    <xf numFmtId="0" fontId="157" fillId="0" borderId="0" applyNumberFormat="0" applyFill="0" applyBorder="0" applyAlignment="0" applyProtection="0"/>
    <xf numFmtId="0" fontId="158" fillId="0" borderId="0" applyNumberFormat="0" applyFill="0" applyBorder="0" applyAlignment="0" applyProtection="0"/>
    <xf numFmtId="307" fontId="159" fillId="0" borderId="48" applyNumberFormat="0" applyFill="0" applyBorder="0" applyAlignment="0" applyProtection="0"/>
    <xf numFmtId="0" fontId="160" fillId="0" borderId="0" applyNumberFormat="0" applyFill="0" applyBorder="0" applyAlignment="0" applyProtection="0"/>
    <xf numFmtId="38" fontId="32" fillId="21" borderId="0" applyNumberFormat="0" applyBorder="0" applyAlignment="0" applyProtection="0"/>
    <xf numFmtId="38" fontId="32" fillId="21" borderId="0" applyNumberFormat="0" applyBorder="0" applyAlignment="0" applyProtection="0"/>
    <xf numFmtId="38" fontId="32" fillId="21" borderId="0" applyNumberFormat="0" applyBorder="0" applyAlignment="0" applyProtection="0"/>
    <xf numFmtId="38" fontId="32" fillId="21" borderId="0" applyNumberFormat="0" applyBorder="0" applyAlignment="0" applyProtection="0"/>
    <xf numFmtId="38" fontId="32" fillId="21" borderId="0" applyNumberFormat="0" applyBorder="0" applyAlignment="0" applyProtection="0"/>
    <xf numFmtId="38" fontId="32" fillId="21" borderId="0" applyNumberFormat="0" applyBorder="0" applyAlignment="0" applyProtection="0"/>
    <xf numFmtId="38" fontId="32" fillId="22" borderId="0" applyNumberFormat="0" applyBorder="0" applyAlignment="0" applyProtection="0"/>
    <xf numFmtId="38" fontId="32" fillId="21" borderId="0" applyNumberFormat="0" applyBorder="0" applyAlignment="0" applyProtection="0"/>
    <xf numFmtId="38" fontId="32" fillId="21" borderId="0" applyNumberFormat="0" applyBorder="0" applyAlignment="0" applyProtection="0"/>
    <xf numFmtId="38" fontId="32" fillId="21" borderId="0" applyNumberFormat="0" applyBorder="0" applyAlignment="0" applyProtection="0"/>
    <xf numFmtId="38" fontId="32" fillId="21" borderId="0" applyNumberFormat="0" applyBorder="0" applyAlignment="0" applyProtection="0"/>
    <xf numFmtId="38" fontId="32" fillId="21" borderId="0" applyNumberFormat="0" applyBorder="0" applyAlignment="0" applyProtection="0"/>
    <xf numFmtId="38" fontId="32" fillId="21" borderId="0" applyNumberFormat="0" applyBorder="0" applyAlignment="0" applyProtection="0"/>
    <xf numFmtId="38" fontId="32" fillId="21" borderId="0" applyNumberFormat="0" applyBorder="0" applyAlignment="0" applyProtection="0"/>
    <xf numFmtId="38" fontId="32" fillId="21" borderId="0" applyNumberFormat="0" applyBorder="0" applyAlignment="0" applyProtection="0"/>
    <xf numFmtId="38" fontId="32" fillId="21" borderId="0" applyNumberFormat="0" applyBorder="0" applyAlignment="0" applyProtection="0"/>
    <xf numFmtId="308" fontId="37" fillId="22" borderId="0" applyBorder="0" applyProtection="0"/>
    <xf numFmtId="0" fontId="161" fillId="0" borderId="0">
      <alignment vertical="top" wrapText="1"/>
    </xf>
    <xf numFmtId="309" fontId="69" fillId="0" borderId="0" applyFont="0" applyFill="0" applyBorder="0" applyAlignment="0" applyProtection="0"/>
    <xf numFmtId="0" fontId="56" fillId="0" borderId="24" applyNumberFormat="0" applyAlignment="0" applyProtection="0">
      <alignment horizontal="left" vertical="center"/>
    </xf>
    <xf numFmtId="0" fontId="56" fillId="0" borderId="7">
      <alignment horizontal="left" vertical="center"/>
    </xf>
    <xf numFmtId="14" fontId="162" fillId="80" borderId="26">
      <alignment horizontal="center" vertical="center" wrapText="1"/>
    </xf>
    <xf numFmtId="0" fontId="68" fillId="0" borderId="0" applyFill="0" applyAlignment="0" applyProtection="0">
      <protection locked="0"/>
    </xf>
    <xf numFmtId="0" fontId="68" fillId="0" borderId="1" applyFill="0" applyAlignment="0" applyProtection="0">
      <protection locked="0"/>
    </xf>
    <xf numFmtId="310" fontId="163" fillId="45" borderId="2" applyNumberFormat="0" applyAlignment="0">
      <alignment horizontal="left" vertical="top"/>
    </xf>
    <xf numFmtId="178" fontId="13" fillId="0" borderId="0" applyFont="0" applyFill="0" applyBorder="0" applyAlignment="0" applyProtection="0"/>
    <xf numFmtId="38" fontId="19" fillId="0" borderId="0" applyFont="0" applyFill="0" applyBorder="0" applyAlignment="0" applyProtection="0"/>
    <xf numFmtId="252" fontId="43" fillId="0" borderId="0" applyFont="0" applyFill="0" applyBorder="0" applyAlignment="0" applyProtection="0"/>
    <xf numFmtId="311" fontId="164" fillId="0" borderId="0" applyFont="0" applyFill="0" applyBorder="0" applyAlignment="0" applyProtection="0"/>
    <xf numFmtId="10" fontId="32" fillId="21" borderId="2" applyNumberFormat="0" applyBorder="0" applyAlignment="0" applyProtection="0"/>
    <xf numFmtId="10" fontId="32" fillId="21" borderId="2" applyNumberFormat="0" applyBorder="0" applyAlignment="0" applyProtection="0"/>
    <xf numFmtId="10" fontId="32" fillId="21" borderId="2" applyNumberFormat="0" applyBorder="0" applyAlignment="0" applyProtection="0"/>
    <xf numFmtId="10" fontId="32" fillId="21" borderId="2" applyNumberFormat="0" applyBorder="0" applyAlignment="0" applyProtection="0"/>
    <xf numFmtId="10" fontId="32" fillId="21" borderId="2" applyNumberFormat="0" applyBorder="0" applyAlignment="0" applyProtection="0"/>
    <xf numFmtId="10" fontId="32" fillId="21" borderId="2" applyNumberFormat="0" applyBorder="0" applyAlignment="0" applyProtection="0"/>
    <xf numFmtId="10" fontId="32" fillId="81" borderId="2" applyNumberFormat="0" applyBorder="0" applyAlignment="0" applyProtection="0"/>
    <xf numFmtId="10" fontId="32" fillId="81" borderId="2" applyNumberFormat="0" applyBorder="0" applyAlignment="0" applyProtection="0"/>
    <xf numFmtId="10" fontId="32" fillId="21" borderId="2" applyNumberFormat="0" applyBorder="0" applyAlignment="0" applyProtection="0"/>
    <xf numFmtId="10" fontId="32" fillId="21" borderId="2" applyNumberFormat="0" applyBorder="0" applyAlignment="0" applyProtection="0"/>
    <xf numFmtId="10" fontId="32" fillId="21" borderId="2" applyNumberFormat="0" applyBorder="0" applyAlignment="0" applyProtection="0"/>
    <xf numFmtId="10" fontId="32" fillId="21" borderId="2" applyNumberFormat="0" applyBorder="0" applyAlignment="0" applyProtection="0"/>
    <xf numFmtId="10" fontId="32" fillId="21" borderId="2" applyNumberFormat="0" applyBorder="0" applyAlignment="0" applyProtection="0"/>
    <xf numFmtId="10" fontId="32" fillId="21" borderId="2" applyNumberFormat="0" applyBorder="0" applyAlignment="0" applyProtection="0"/>
    <xf numFmtId="10" fontId="32" fillId="21" borderId="2" applyNumberFormat="0" applyBorder="0" applyAlignment="0" applyProtection="0"/>
    <xf numFmtId="10" fontId="32" fillId="21" borderId="2" applyNumberFormat="0" applyBorder="0" applyAlignment="0" applyProtection="0"/>
    <xf numFmtId="10" fontId="32" fillId="21" borderId="2" applyNumberFormat="0" applyBorder="0" applyAlignment="0" applyProtection="0"/>
    <xf numFmtId="0" fontId="165" fillId="29" borderId="21" applyNumberFormat="0" applyAlignment="0" applyProtection="0"/>
    <xf numFmtId="0" fontId="165" fillId="29" borderId="21" applyNumberFormat="0" applyAlignment="0" applyProtection="0"/>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178" fontId="13" fillId="0" borderId="0" applyFont="0" applyFill="0" applyBorder="0" applyAlignment="0" applyProtection="0"/>
    <xf numFmtId="0" fontId="33" fillId="0" borderId="0" applyNumberFormat="0" applyFont="0" applyFill="0" applyBorder="0" applyProtection="0">
      <alignment horizontal="left" vertical="center"/>
    </xf>
    <xf numFmtId="0" fontId="19" fillId="0" borderId="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3" fontId="168" fillId="0" borderId="4" applyNumberFormat="0" applyAlignment="0">
      <alignment horizontal="center" vertical="center"/>
    </xf>
    <xf numFmtId="3" fontId="135" fillId="0" borderId="4" applyNumberFormat="0" applyAlignment="0">
      <alignment horizontal="center" vertical="center"/>
    </xf>
    <xf numFmtId="3" fontId="163" fillId="0" borderId="4" applyNumberFormat="0" applyAlignment="0">
      <alignment horizontal="center" vertical="center"/>
    </xf>
    <xf numFmtId="0" fontId="69" fillId="0" borderId="2"/>
    <xf numFmtId="37" fontId="169" fillId="0" borderId="0"/>
    <xf numFmtId="0" fontId="170" fillId="0" borderId="0"/>
    <xf numFmtId="0" fontId="36" fillId="0" borderId="0"/>
    <xf numFmtId="0" fontId="4" fillId="0" borderId="0"/>
    <xf numFmtId="0" fontId="38"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65" fillId="0" borderId="0" applyProtection="0"/>
    <xf numFmtId="0" fontId="12" fillId="0" borderId="0"/>
    <xf numFmtId="0" fontId="12" fillId="0" borderId="0"/>
    <xf numFmtId="0" fontId="12" fillId="0" borderId="0"/>
    <xf numFmtId="0" fontId="12" fillId="0" borderId="0"/>
    <xf numFmtId="0" fontId="5" fillId="0" borderId="0"/>
    <xf numFmtId="0" fontId="12" fillId="0" borderId="0"/>
    <xf numFmtId="0" fontId="12" fillId="0" borderId="0"/>
    <xf numFmtId="0" fontId="12" fillId="0" borderId="0"/>
    <xf numFmtId="0" fontId="12" fillId="0" borderId="0"/>
    <xf numFmtId="0" fontId="12" fillId="0" borderId="0"/>
    <xf numFmtId="0" fontId="12" fillId="0" borderId="0"/>
    <xf numFmtId="0" fontId="65" fillId="0" borderId="0"/>
    <xf numFmtId="0" fontId="5" fillId="0" borderId="0"/>
    <xf numFmtId="0" fontId="5" fillId="0" borderId="0"/>
    <xf numFmtId="0" fontId="6" fillId="0" borderId="0"/>
    <xf numFmtId="0" fontId="5" fillId="0" borderId="0"/>
    <xf numFmtId="0" fontId="5" fillId="0" borderId="0"/>
    <xf numFmtId="0" fontId="6" fillId="0" borderId="0"/>
    <xf numFmtId="0" fontId="6" fillId="0" borderId="0"/>
    <xf numFmtId="0" fontId="50"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171" fillId="0" borderId="0"/>
    <xf numFmtId="0" fontId="171" fillId="0" borderId="0"/>
    <xf numFmtId="0" fontId="171" fillId="0" borderId="0"/>
    <xf numFmtId="0" fontId="63" fillId="0" borderId="0"/>
    <xf numFmtId="0" fontId="65" fillId="0" borderId="0" applyProtection="0"/>
    <xf numFmtId="0" fontId="12" fillId="0" borderId="0"/>
    <xf numFmtId="0" fontId="172" fillId="0" borderId="0"/>
    <xf numFmtId="0" fontId="13" fillId="0" borderId="0"/>
    <xf numFmtId="0" fontId="38" fillId="0" borderId="0"/>
    <xf numFmtId="0" fontId="6" fillId="0" borderId="0"/>
    <xf numFmtId="0" fontId="173" fillId="0" borderId="0"/>
    <xf numFmtId="0" fontId="173" fillId="0" borderId="0"/>
    <xf numFmtId="0" fontId="173" fillId="0" borderId="0"/>
    <xf numFmtId="0" fontId="50" fillId="0" borderId="0"/>
    <xf numFmtId="0" fontId="6" fillId="0" borderId="0"/>
    <xf numFmtId="0" fontId="5" fillId="0" borderId="0"/>
    <xf numFmtId="0" fontId="5" fillId="0" borderId="0"/>
    <xf numFmtId="0" fontId="65" fillId="0" borderId="0" applyProtection="0"/>
    <xf numFmtId="0" fontId="65" fillId="0" borderId="0" applyProtection="0"/>
    <xf numFmtId="0" fontId="5" fillId="0" borderId="0"/>
    <xf numFmtId="0" fontId="59" fillId="0" borderId="0"/>
    <xf numFmtId="0" fontId="5" fillId="0" borderId="0"/>
    <xf numFmtId="0" fontId="65" fillId="0" borderId="0"/>
    <xf numFmtId="0" fontId="59" fillId="0" borderId="0"/>
    <xf numFmtId="0" fontId="59" fillId="0" borderId="0"/>
    <xf numFmtId="0" fontId="6" fillId="0" borderId="0"/>
    <xf numFmtId="0" fontId="5" fillId="0" borderId="0"/>
    <xf numFmtId="0" fontId="6" fillId="0" borderId="0"/>
    <xf numFmtId="0" fontId="5" fillId="0" borderId="0"/>
    <xf numFmtId="0" fontId="96"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171" fillId="0" borderId="0"/>
    <xf numFmtId="0" fontId="5" fillId="0" borderId="0"/>
    <xf numFmtId="0" fontId="138" fillId="0" borderId="0"/>
    <xf numFmtId="0" fontId="138" fillId="0" borderId="0" applyProtection="0"/>
    <xf numFmtId="0" fontId="6" fillId="0" borderId="0" applyProtection="0"/>
    <xf numFmtId="0" fontId="12" fillId="0" borderId="0"/>
    <xf numFmtId="0" fontId="12" fillId="0" borderId="0"/>
    <xf numFmtId="0" fontId="12" fillId="0" borderId="0"/>
    <xf numFmtId="0" fontId="12" fillId="0" borderId="0"/>
    <xf numFmtId="0" fontId="12" fillId="0" borderId="0"/>
    <xf numFmtId="0" fontId="4" fillId="0" borderId="0"/>
    <xf numFmtId="0" fontId="5" fillId="0" borderId="0"/>
    <xf numFmtId="0" fontId="138" fillId="0" borderId="0" applyProtection="0"/>
    <xf numFmtId="0" fontId="5" fillId="0" borderId="0"/>
    <xf numFmtId="0" fontId="5" fillId="0" borderId="0"/>
    <xf numFmtId="0" fontId="5" fillId="0" borderId="0"/>
    <xf numFmtId="0" fontId="5" fillId="0" borderId="0"/>
    <xf numFmtId="0" fontId="5" fillId="0" borderId="0"/>
    <xf numFmtId="0" fontId="5" fillId="0" borderId="0"/>
    <xf numFmtId="0" fontId="43" fillId="0" borderId="0"/>
    <xf numFmtId="0" fontId="12" fillId="0" borderId="0"/>
    <xf numFmtId="0" fontId="12" fillId="0" borderId="0"/>
    <xf numFmtId="0" fontId="12" fillId="0" borderId="0"/>
    <xf numFmtId="0" fontId="12" fillId="0" borderId="0"/>
    <xf numFmtId="0" fontId="12" fillId="0" borderId="0"/>
    <xf numFmtId="0" fontId="12" fillId="0" borderId="0"/>
    <xf numFmtId="0" fontId="7" fillId="0" borderId="0"/>
    <xf numFmtId="0" fontId="36" fillId="0" borderId="0"/>
    <xf numFmtId="0" fontId="6" fillId="0" borderId="0" applyProtection="0"/>
    <xf numFmtId="0" fontId="36" fillId="0" borderId="0"/>
    <xf numFmtId="0" fontId="36" fillId="0" borderId="0"/>
    <xf numFmtId="0" fontId="36" fillId="0" borderId="0"/>
    <xf numFmtId="0" fontId="36" fillId="0" borderId="0"/>
    <xf numFmtId="0" fontId="36" fillId="0" borderId="0"/>
    <xf numFmtId="0" fontId="36" fillId="0" borderId="0"/>
    <xf numFmtId="0" fontId="12" fillId="0" borderId="0"/>
    <xf numFmtId="0" fontId="12" fillId="0" borderId="0"/>
    <xf numFmtId="0" fontId="12" fillId="0" borderId="0"/>
    <xf numFmtId="0" fontId="12" fillId="0" borderId="0"/>
    <xf numFmtId="0" fontId="38" fillId="0" borderId="0"/>
    <xf numFmtId="0" fontId="126" fillId="0" borderId="0"/>
    <xf numFmtId="0" fontId="38" fillId="0" borderId="0"/>
    <xf numFmtId="0" fontId="38" fillId="0" borderId="0"/>
    <xf numFmtId="0" fontId="38" fillId="0" borderId="0"/>
    <xf numFmtId="0" fontId="38" fillId="0" borderId="0"/>
    <xf numFmtId="0" fontId="38" fillId="0" borderId="0"/>
    <xf numFmtId="0" fontId="6" fillId="0" borderId="0"/>
    <xf numFmtId="0" fontId="38" fillId="0" borderId="0"/>
    <xf numFmtId="0" fontId="38" fillId="0" borderId="0"/>
    <xf numFmtId="0" fontId="38" fillId="0" borderId="0"/>
    <xf numFmtId="0" fontId="12" fillId="0" borderId="0"/>
    <xf numFmtId="0" fontId="17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7" fillId="0" borderId="0" applyNumberFormat="0" applyFill="0" applyBorder="0" applyProtection="0">
      <alignment vertical="top"/>
    </xf>
    <xf numFmtId="0" fontId="17" fillId="0" borderId="0" applyNumberFormat="0" applyFill="0" applyBorder="0" applyProtection="0">
      <alignment vertical="top"/>
    </xf>
    <xf numFmtId="0" fontId="5" fillId="0" borderId="0"/>
    <xf numFmtId="0" fontId="5" fillId="0" borderId="0"/>
    <xf numFmtId="0" fontId="5" fillId="0" borderId="0"/>
    <xf numFmtId="0" fontId="33" fillId="0" borderId="0"/>
    <xf numFmtId="0" fontId="33" fillId="0" borderId="0"/>
    <xf numFmtId="0" fontId="13" fillId="0" borderId="0"/>
    <xf numFmtId="0" fontId="6" fillId="0" borderId="0"/>
    <xf numFmtId="0" fontId="6" fillId="0" borderId="0"/>
    <xf numFmtId="0" fontId="5" fillId="0" borderId="0"/>
    <xf numFmtId="0" fontId="5" fillId="0" borderId="0"/>
    <xf numFmtId="0" fontId="6" fillId="0" borderId="0"/>
    <xf numFmtId="0" fontId="6" fillId="0" borderId="0"/>
    <xf numFmtId="0" fontId="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 fillId="0" borderId="0"/>
    <xf numFmtId="0" fontId="6" fillId="46" borderId="30" applyNumberFormat="0" applyFont="0" applyAlignment="0" applyProtection="0"/>
    <xf numFmtId="0" fontId="6" fillId="46" borderId="30" applyNumberFormat="0" applyFont="0" applyAlignment="0" applyProtection="0"/>
    <xf numFmtId="0" fontId="4" fillId="47" borderId="30" applyNumberFormat="0" applyFont="0" applyAlignment="0" applyProtection="0"/>
    <xf numFmtId="312" fontId="175" fillId="0" borderId="0" applyFont="0" applyFill="0" applyBorder="0" applyProtection="0">
      <alignment vertical="top" wrapText="1"/>
    </xf>
    <xf numFmtId="0" fontId="50" fillId="0" borderId="0"/>
    <xf numFmtId="0" fontId="50" fillId="0" borderId="0" applyProtection="0"/>
    <xf numFmtId="0" fontId="50" fillId="0" borderId="0" applyProtection="0"/>
    <xf numFmtId="3" fontId="176" fillId="0" borderId="0" applyFon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13" fillId="0" borderId="0" applyNumberFormat="0" applyFill="0" applyBorder="0" applyAlignment="0" applyProtection="0"/>
    <xf numFmtId="0" fontId="68" fillId="0" borderId="0" applyProtection="0"/>
    <xf numFmtId="169" fontId="177" fillId="0" borderId="17" applyFont="0" applyBorder="0" applyAlignment="0"/>
    <xf numFmtId="0" fontId="178" fillId="21" borderId="0"/>
    <xf numFmtId="0" fontId="173" fillId="21" borderId="0"/>
    <xf numFmtId="0" fontId="173" fillId="21" borderId="0"/>
    <xf numFmtId="305" fontId="5" fillId="0" borderId="0" applyFont="0" applyFill="0" applyBorder="0" applyAlignment="0" applyProtection="0"/>
    <xf numFmtId="305" fontId="5" fillId="0" borderId="0" applyFont="0" applyFill="0" applyBorder="0" applyAlignment="0" applyProtection="0"/>
    <xf numFmtId="305" fontId="5" fillId="0" borderId="0" applyFont="0" applyFill="0" applyBorder="0" applyAlignment="0" applyProtection="0"/>
    <xf numFmtId="305" fontId="5" fillId="0" borderId="0" applyFont="0" applyFill="0" applyBorder="0" applyAlignment="0" applyProtection="0"/>
    <xf numFmtId="305" fontId="5" fillId="0" borderId="0" applyFont="0" applyFill="0" applyBorder="0" applyAlignment="0" applyProtection="0"/>
    <xf numFmtId="305" fontId="5" fillId="0" borderId="0" applyFont="0" applyFill="0" applyBorder="0" applyAlignment="0" applyProtection="0"/>
    <xf numFmtId="305" fontId="5" fillId="0" borderId="0" applyFont="0" applyFill="0" applyBorder="0" applyAlignment="0" applyProtection="0"/>
    <xf numFmtId="305" fontId="5" fillId="0" borderId="0" applyFont="0" applyFill="0" applyBorder="0" applyAlignment="0" applyProtection="0"/>
    <xf numFmtId="305" fontId="5" fillId="0" borderId="0" applyFont="0" applyFill="0" applyBorder="0" applyAlignment="0" applyProtection="0"/>
    <xf numFmtId="305" fontId="5" fillId="0" borderId="0" applyFont="0" applyFill="0" applyBorder="0" applyAlignment="0" applyProtection="0"/>
    <xf numFmtId="305" fontId="5" fillId="0" borderId="0" applyFont="0" applyFill="0" applyBorder="0" applyAlignment="0" applyProtection="0"/>
    <xf numFmtId="305" fontId="5" fillId="0" borderId="0" applyFont="0" applyFill="0" applyBorder="0" applyAlignment="0" applyProtection="0"/>
    <xf numFmtId="305" fontId="5" fillId="0" borderId="0" applyFont="0" applyFill="0" applyBorder="0" applyAlignment="0" applyProtection="0"/>
    <xf numFmtId="305" fontId="5" fillId="0" borderId="0" applyFont="0" applyFill="0" applyBorder="0" applyAlignment="0" applyProtection="0"/>
    <xf numFmtId="14" fontId="51" fillId="0" borderId="0">
      <alignment horizontal="center" wrapText="1"/>
      <protection locked="0"/>
    </xf>
    <xf numFmtId="313" fontId="68" fillId="0" borderId="0" applyFont="0" applyFill="0" applyBorder="0" applyAlignment="0" applyProtection="0"/>
    <xf numFmtId="314" fontId="118" fillId="0" borderId="0" applyFont="0" applyFill="0" applyBorder="0" applyAlignment="0" applyProtection="0"/>
    <xf numFmtId="315" fontId="142"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259" fontId="5" fillId="0" borderId="0" applyFont="0" applyFill="0" applyBorder="0" applyAlignment="0" applyProtection="0"/>
    <xf numFmtId="259" fontId="5" fillId="0" borderId="0" applyFont="0" applyFill="0" applyBorder="0" applyAlignment="0" applyProtection="0"/>
    <xf numFmtId="259" fontId="5" fillId="0" borderId="0" applyFont="0" applyFill="0" applyBorder="0" applyAlignment="0" applyProtection="0"/>
    <xf numFmtId="259" fontId="5" fillId="0" borderId="0" applyFont="0" applyFill="0" applyBorder="0" applyAlignment="0" applyProtection="0"/>
    <xf numFmtId="259" fontId="5" fillId="0" borderId="0" applyFont="0" applyFill="0" applyBorder="0" applyAlignment="0" applyProtection="0"/>
    <xf numFmtId="259" fontId="5" fillId="0" borderId="0" applyFont="0" applyFill="0" applyBorder="0" applyAlignment="0" applyProtection="0"/>
    <xf numFmtId="259" fontId="5" fillId="0" borderId="0" applyFont="0" applyFill="0" applyBorder="0" applyAlignment="0" applyProtection="0"/>
    <xf numFmtId="259" fontId="5" fillId="0" borderId="0" applyFont="0" applyFill="0" applyBorder="0" applyAlignment="0" applyProtection="0"/>
    <xf numFmtId="259" fontId="5" fillId="0" borderId="0" applyFont="0" applyFill="0" applyBorder="0" applyAlignment="0" applyProtection="0"/>
    <xf numFmtId="259" fontId="5" fillId="0" borderId="0" applyFont="0" applyFill="0" applyBorder="0" applyAlignment="0" applyProtection="0"/>
    <xf numFmtId="259" fontId="5" fillId="0" borderId="0" applyFont="0" applyFill="0" applyBorder="0" applyAlignment="0" applyProtection="0"/>
    <xf numFmtId="259" fontId="5" fillId="0" borderId="0" applyFont="0" applyFill="0" applyBorder="0" applyAlignment="0" applyProtection="0"/>
    <xf numFmtId="259" fontId="5" fillId="0" borderId="0" applyFont="0" applyFill="0" applyBorder="0" applyAlignment="0" applyProtection="0"/>
    <xf numFmtId="259" fontId="5" fillId="0" borderId="0" applyFont="0" applyFill="0" applyBorder="0" applyAlignment="0" applyProtection="0"/>
    <xf numFmtId="317" fontId="5" fillId="0" borderId="0" applyFont="0" applyFill="0" applyBorder="0" applyAlignment="0" applyProtection="0"/>
    <xf numFmtId="317" fontId="5" fillId="0" borderId="0" applyFont="0" applyFill="0" applyBorder="0" applyAlignment="0" applyProtection="0"/>
    <xf numFmtId="317" fontId="5" fillId="0" borderId="0" applyFont="0" applyFill="0" applyBorder="0" applyAlignment="0" applyProtection="0"/>
    <xf numFmtId="317" fontId="5" fillId="0" borderId="0" applyFont="0" applyFill="0" applyBorder="0" applyAlignment="0" applyProtection="0"/>
    <xf numFmtId="317" fontId="5" fillId="0" borderId="0" applyFont="0" applyFill="0" applyBorder="0" applyAlignment="0" applyProtection="0"/>
    <xf numFmtId="317" fontId="5" fillId="0" borderId="0" applyFont="0" applyFill="0" applyBorder="0" applyAlignment="0" applyProtection="0"/>
    <xf numFmtId="317" fontId="5" fillId="0" borderId="0" applyFont="0" applyFill="0" applyBorder="0" applyAlignment="0" applyProtection="0"/>
    <xf numFmtId="317" fontId="5" fillId="0" borderId="0" applyFont="0" applyFill="0" applyBorder="0" applyAlignment="0" applyProtection="0"/>
    <xf numFmtId="317" fontId="5" fillId="0" borderId="0" applyFont="0" applyFill="0" applyBorder="0" applyAlignment="0" applyProtection="0"/>
    <xf numFmtId="317" fontId="5" fillId="0" borderId="0" applyFont="0" applyFill="0" applyBorder="0" applyAlignment="0" applyProtection="0"/>
    <xf numFmtId="317" fontId="5" fillId="0" borderId="0" applyFont="0" applyFill="0" applyBorder="0" applyAlignment="0" applyProtection="0"/>
    <xf numFmtId="317" fontId="5" fillId="0" borderId="0" applyFont="0" applyFill="0" applyBorder="0" applyAlignment="0" applyProtection="0"/>
    <xf numFmtId="317" fontId="5" fillId="0" borderId="0" applyFont="0" applyFill="0" applyBorder="0" applyAlignment="0" applyProtection="0"/>
    <xf numFmtId="317"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65" fillId="0" borderId="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318" fontId="142" fillId="0" borderId="0" applyFont="0" applyFill="0" applyBorder="0" applyAlignment="0" applyProtection="0"/>
    <xf numFmtId="319" fontId="118" fillId="0" borderId="0" applyFont="0" applyFill="0" applyBorder="0" applyAlignment="0" applyProtection="0"/>
    <xf numFmtId="320" fontId="142" fillId="0" borderId="0" applyFont="0" applyFill="0" applyBorder="0" applyAlignment="0" applyProtection="0"/>
    <xf numFmtId="321" fontId="118" fillId="0" borderId="0" applyFont="0" applyFill="0" applyBorder="0" applyAlignment="0" applyProtection="0"/>
    <xf numFmtId="322" fontId="142" fillId="0" borderId="0" applyFont="0" applyFill="0" applyBorder="0" applyAlignment="0" applyProtection="0"/>
    <xf numFmtId="323" fontId="118"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3"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0"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61"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256" fontId="5" fillId="0" borderId="0" applyFill="0" applyBorder="0" applyAlignment="0"/>
    <xf numFmtId="1" fontId="4" fillId="0" borderId="4" applyNumberFormat="0" applyFill="0" applyAlignment="0" applyProtection="0">
      <alignment horizontal="center" vertical="center"/>
    </xf>
    <xf numFmtId="0" fontId="167" fillId="0" borderId="0"/>
    <xf numFmtId="252" fontId="43" fillId="0" borderId="0" applyFont="0" applyFill="0" applyBorder="0" applyAlignment="0" applyProtection="0"/>
    <xf numFmtId="0" fontId="13" fillId="0" borderId="0" applyNumberFormat="0" applyFill="0" applyBorder="0" applyAlignment="0" applyProtection="0"/>
    <xf numFmtId="0" fontId="13" fillId="0" borderId="0" applyProtection="0"/>
    <xf numFmtId="249" fontId="43" fillId="0" borderId="0" applyFont="0" applyFill="0" applyBorder="0" applyAlignment="0" applyProtection="0"/>
    <xf numFmtId="41" fontId="65" fillId="0" borderId="0" applyProtection="0"/>
    <xf numFmtId="4" fontId="70" fillId="49" borderId="33" applyNumberFormat="0" applyProtection="0">
      <alignment vertical="center"/>
    </xf>
    <xf numFmtId="4" fontId="71" fillId="49" borderId="33" applyNumberFormat="0" applyProtection="0">
      <alignment horizontal="left" vertical="center" indent="1"/>
    </xf>
    <xf numFmtId="4" fontId="71" fillId="50" borderId="0" applyNumberFormat="0" applyProtection="0">
      <alignment horizontal="left" vertical="center" indent="1"/>
    </xf>
    <xf numFmtId="4" fontId="71" fillId="51" borderId="33" applyNumberFormat="0" applyProtection="0">
      <alignment horizontal="right" vertical="center"/>
    </xf>
    <xf numFmtId="4" fontId="71" fillId="52" borderId="33" applyNumberFormat="0" applyProtection="0">
      <alignment horizontal="right" vertical="center"/>
    </xf>
    <xf numFmtId="4" fontId="71" fillId="53" borderId="33" applyNumberFormat="0" applyProtection="0">
      <alignment horizontal="right" vertical="center"/>
    </xf>
    <xf numFmtId="4" fontId="71" fillId="54" borderId="33" applyNumberFormat="0" applyProtection="0">
      <alignment horizontal="right" vertical="center"/>
    </xf>
    <xf numFmtId="4" fontId="71" fillId="55" borderId="33" applyNumberFormat="0" applyProtection="0">
      <alignment horizontal="right" vertical="center"/>
    </xf>
    <xf numFmtId="4" fontId="71" fillId="56" borderId="33" applyNumberFormat="0" applyProtection="0">
      <alignment horizontal="right" vertical="center"/>
    </xf>
    <xf numFmtId="4" fontId="71" fillId="57" borderId="33" applyNumberFormat="0" applyProtection="0">
      <alignment horizontal="right" vertical="center"/>
    </xf>
    <xf numFmtId="4" fontId="71" fillId="58" borderId="33" applyNumberFormat="0" applyProtection="0">
      <alignment horizontal="right" vertical="center"/>
    </xf>
    <xf numFmtId="4" fontId="71" fillId="59" borderId="33" applyNumberFormat="0" applyProtection="0">
      <alignment horizontal="right" vertical="center"/>
    </xf>
    <xf numFmtId="4" fontId="70" fillId="60" borderId="34" applyNumberFormat="0" applyProtection="0">
      <alignment horizontal="left" vertical="center" indent="1"/>
    </xf>
    <xf numFmtId="4" fontId="70" fillId="61" borderId="0" applyNumberFormat="0" applyProtection="0">
      <alignment horizontal="left" vertical="center" indent="1"/>
    </xf>
    <xf numFmtId="4" fontId="70" fillId="50" borderId="0" applyNumberFormat="0" applyProtection="0">
      <alignment horizontal="left" vertical="center" indent="1"/>
    </xf>
    <xf numFmtId="4" fontId="71" fillId="61" borderId="33" applyNumberFormat="0" applyProtection="0">
      <alignment horizontal="right" vertical="center"/>
    </xf>
    <xf numFmtId="4" fontId="54" fillId="61" borderId="0" applyNumberFormat="0" applyProtection="0">
      <alignment horizontal="left" vertical="center" indent="1"/>
    </xf>
    <xf numFmtId="4" fontId="54" fillId="50" borderId="0" applyNumberFormat="0" applyProtection="0">
      <alignment horizontal="left" vertical="center" indent="1"/>
    </xf>
    <xf numFmtId="4" fontId="71" fillId="62" borderId="33" applyNumberFormat="0" applyProtection="0">
      <alignment vertical="center"/>
    </xf>
    <xf numFmtId="4" fontId="72" fillId="62" borderId="33" applyNumberFormat="0" applyProtection="0">
      <alignment vertical="center"/>
    </xf>
    <xf numFmtId="4" fontId="70" fillId="61" borderId="35" applyNumberFormat="0" applyProtection="0">
      <alignment horizontal="left" vertical="center" indent="1"/>
    </xf>
    <xf numFmtId="4" fontId="71" fillId="62" borderId="33" applyNumberFormat="0" applyProtection="0">
      <alignment horizontal="right" vertical="center"/>
    </xf>
    <xf numFmtId="4" fontId="72" fillId="62" borderId="33" applyNumberFormat="0" applyProtection="0">
      <alignment horizontal="right" vertical="center"/>
    </xf>
    <xf numFmtId="4" fontId="70" fillId="61" borderId="33" applyNumberFormat="0" applyProtection="0">
      <alignment horizontal="left" vertical="center" indent="1"/>
    </xf>
    <xf numFmtId="4" fontId="73" fillId="62" borderId="33" applyNumberFormat="0" applyProtection="0">
      <alignment horizontal="right" vertical="center"/>
    </xf>
    <xf numFmtId="178" fontId="43" fillId="0" borderId="0" applyFont="0" applyFill="0" applyBorder="0" applyAlignment="0" applyProtection="0"/>
    <xf numFmtId="250" fontId="43" fillId="0" borderId="0" applyFont="0" applyFill="0" applyBorder="0" applyAlignment="0" applyProtection="0"/>
    <xf numFmtId="41" fontId="43" fillId="0" borderId="0" applyFont="0" applyFill="0" applyBorder="0" applyAlignment="0" applyProtection="0"/>
    <xf numFmtId="252" fontId="43" fillId="0" borderId="0" applyFont="0" applyFill="0" applyBorder="0" applyAlignment="0" applyProtection="0"/>
    <xf numFmtId="253" fontId="43" fillId="0" borderId="0" applyFont="0" applyFill="0" applyBorder="0" applyAlignment="0" applyProtection="0"/>
    <xf numFmtId="250" fontId="43" fillId="0" borderId="0" applyFont="0" applyFill="0" applyBorder="0" applyAlignment="0" applyProtection="0"/>
    <xf numFmtId="250" fontId="43" fillId="0" borderId="0" applyFont="0" applyFill="0" applyBorder="0" applyAlignment="0" applyProtection="0"/>
    <xf numFmtId="18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181" fontId="43" fillId="0" borderId="0" applyFont="0" applyFill="0" applyBorder="0" applyAlignment="0" applyProtection="0"/>
    <xf numFmtId="234" fontId="43" fillId="0" borderId="0" applyFont="0" applyFill="0" applyBorder="0" applyAlignment="0" applyProtection="0"/>
    <xf numFmtId="234"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237" fontId="43" fillId="0" borderId="0" applyFont="0" applyFill="0" applyBorder="0" applyAlignment="0" applyProtection="0"/>
    <xf numFmtId="237" fontId="43" fillId="0" borderId="0" applyFont="0" applyFill="0" applyBorder="0" applyAlignment="0" applyProtection="0"/>
    <xf numFmtId="42" fontId="43" fillId="0" borderId="0" applyFont="0" applyFill="0" applyBorder="0" applyAlignment="0" applyProtection="0"/>
    <xf numFmtId="237" fontId="43" fillId="0" borderId="0" applyFont="0" applyFill="0" applyBorder="0" applyAlignment="0" applyProtection="0"/>
    <xf numFmtId="42" fontId="43" fillId="0" borderId="0" applyFont="0" applyFill="0" applyBorder="0" applyAlignment="0" applyProtection="0"/>
    <xf numFmtId="237" fontId="43" fillId="0" borderId="0" applyFont="0" applyFill="0" applyBorder="0" applyAlignment="0" applyProtection="0"/>
    <xf numFmtId="181" fontId="43" fillId="0" borderId="0" applyFont="0" applyFill="0" applyBorder="0" applyAlignment="0" applyProtection="0"/>
    <xf numFmtId="184" fontId="43" fillId="0" borderId="0" applyFont="0" applyFill="0" applyBorder="0" applyAlignment="0" applyProtection="0"/>
    <xf numFmtId="183" fontId="43" fillId="0" borderId="0" applyFont="0" applyFill="0" applyBorder="0" applyAlignment="0" applyProtection="0"/>
    <xf numFmtId="183" fontId="43" fillId="0" borderId="0" applyFont="0" applyFill="0" applyBorder="0" applyAlignment="0" applyProtection="0"/>
    <xf numFmtId="183" fontId="43" fillId="0" borderId="0" applyFont="0" applyFill="0" applyBorder="0" applyAlignment="0" applyProtection="0"/>
    <xf numFmtId="184" fontId="40" fillId="0" borderId="0" applyFont="0" applyFill="0" applyBorder="0" applyAlignment="0" applyProtection="0"/>
    <xf numFmtId="183" fontId="43" fillId="0" borderId="0" applyFont="0" applyFill="0" applyBorder="0" applyAlignment="0" applyProtection="0"/>
    <xf numFmtId="184" fontId="43" fillId="0" borderId="0" applyFont="0" applyFill="0" applyBorder="0" applyAlignment="0" applyProtection="0"/>
    <xf numFmtId="246" fontId="43" fillId="0" borderId="0" applyFont="0" applyFill="0" applyBorder="0" applyAlignment="0" applyProtection="0"/>
    <xf numFmtId="237" fontId="43" fillId="0" borderId="0" applyFont="0" applyFill="0" applyBorder="0" applyAlignment="0" applyProtection="0"/>
    <xf numFmtId="237" fontId="43" fillId="0" borderId="0" applyFont="0" applyFill="0" applyBorder="0" applyAlignment="0" applyProtection="0"/>
    <xf numFmtId="181" fontId="43" fillId="0" borderId="0" applyFont="0" applyFill="0" applyBorder="0" applyAlignment="0" applyProtection="0"/>
    <xf numFmtId="42" fontId="43" fillId="0" borderId="0" applyFont="0" applyFill="0" applyBorder="0" applyAlignment="0" applyProtection="0"/>
    <xf numFmtId="0" fontId="50" fillId="0" borderId="0"/>
    <xf numFmtId="220" fontId="69" fillId="0" borderId="0" applyFont="0" applyFill="0" applyBorder="0" applyAlignment="0" applyProtection="0"/>
    <xf numFmtId="234" fontId="43" fillId="0" borderId="0" applyFont="0" applyFill="0" applyBorder="0" applyAlignment="0" applyProtection="0"/>
    <xf numFmtId="234"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237" fontId="43" fillId="0" borderId="0" applyFont="0" applyFill="0" applyBorder="0" applyAlignment="0" applyProtection="0"/>
    <xf numFmtId="237" fontId="43" fillId="0" borderId="0" applyFont="0" applyFill="0" applyBorder="0" applyAlignment="0" applyProtection="0"/>
    <xf numFmtId="42" fontId="43" fillId="0" borderId="0" applyFont="0" applyFill="0" applyBorder="0" applyAlignment="0" applyProtection="0"/>
    <xf numFmtId="248" fontId="43" fillId="0" borderId="0" applyFont="0" applyFill="0" applyBorder="0" applyAlignment="0" applyProtection="0"/>
    <xf numFmtId="237" fontId="43" fillId="0" borderId="0" applyFont="0" applyFill="0" applyBorder="0" applyAlignment="0" applyProtection="0"/>
    <xf numFmtId="42" fontId="43" fillId="0" borderId="0" applyFont="0" applyFill="0" applyBorder="0" applyAlignment="0" applyProtection="0"/>
    <xf numFmtId="237" fontId="43" fillId="0" borderId="0" applyFont="0" applyFill="0" applyBorder="0" applyAlignment="0" applyProtection="0"/>
    <xf numFmtId="184" fontId="43" fillId="0" borderId="0" applyFont="0" applyFill="0" applyBorder="0" applyAlignment="0" applyProtection="0"/>
    <xf numFmtId="183" fontId="43" fillId="0" borderId="0" applyFont="0" applyFill="0" applyBorder="0" applyAlignment="0" applyProtection="0"/>
    <xf numFmtId="183" fontId="43" fillId="0" borderId="0" applyFont="0" applyFill="0" applyBorder="0" applyAlignment="0" applyProtection="0"/>
    <xf numFmtId="183" fontId="43" fillId="0" borderId="0" applyFont="0" applyFill="0" applyBorder="0" applyAlignment="0" applyProtection="0"/>
    <xf numFmtId="184" fontId="40" fillId="0" borderId="0" applyFont="0" applyFill="0" applyBorder="0" applyAlignment="0" applyProtection="0"/>
    <xf numFmtId="183" fontId="43" fillId="0" borderId="0" applyFont="0" applyFill="0" applyBorder="0" applyAlignment="0" applyProtection="0"/>
    <xf numFmtId="184" fontId="43" fillId="0" borderId="0" applyFont="0" applyFill="0" applyBorder="0" applyAlignment="0" applyProtection="0"/>
    <xf numFmtId="248" fontId="43" fillId="0" borderId="0" applyFont="0" applyFill="0" applyBorder="0" applyAlignment="0" applyProtection="0"/>
    <xf numFmtId="246" fontId="43" fillId="0" borderId="0" applyFont="0" applyFill="0" applyBorder="0" applyAlignment="0" applyProtection="0"/>
    <xf numFmtId="237" fontId="43" fillId="0" borderId="0" applyFont="0" applyFill="0" applyBorder="0" applyAlignment="0" applyProtection="0"/>
    <xf numFmtId="237" fontId="43" fillId="0" borderId="0" applyFont="0" applyFill="0" applyBorder="0" applyAlignment="0" applyProtection="0"/>
    <xf numFmtId="42" fontId="43" fillId="0" borderId="0" applyFont="0" applyFill="0" applyBorder="0" applyAlignment="0" applyProtection="0"/>
    <xf numFmtId="0" fontId="50" fillId="0" borderId="0"/>
    <xf numFmtId="220" fontId="69" fillId="0" borderId="0" applyFont="0" applyFill="0" applyBorder="0" applyAlignment="0" applyProtection="0"/>
    <xf numFmtId="181" fontId="43" fillId="0" borderId="0" applyFont="0" applyFill="0" applyBorder="0" applyAlignment="0" applyProtection="0"/>
    <xf numFmtId="248" fontId="43" fillId="0" borderId="0" applyFont="0" applyFill="0" applyBorder="0" applyAlignment="0" applyProtection="0"/>
    <xf numFmtId="181" fontId="43" fillId="0" borderId="0" applyFont="0" applyFill="0" applyBorder="0" applyAlignment="0" applyProtection="0"/>
    <xf numFmtId="252" fontId="43" fillId="0" borderId="0" applyFont="0" applyFill="0" applyBorder="0" applyAlignment="0" applyProtection="0"/>
    <xf numFmtId="247" fontId="43" fillId="0" borderId="0" applyFont="0" applyFill="0" applyBorder="0" applyAlignment="0" applyProtection="0"/>
    <xf numFmtId="247" fontId="43" fillId="0" borderId="0" applyFont="0" applyFill="0" applyBorder="0" applyAlignment="0" applyProtection="0"/>
    <xf numFmtId="190" fontId="43" fillId="0" borderId="0" applyFont="0" applyFill="0" applyBorder="0" applyAlignment="0" applyProtection="0"/>
    <xf numFmtId="248" fontId="43" fillId="0" borderId="0" applyFont="0" applyFill="0" applyBorder="0" applyAlignment="0" applyProtection="0"/>
    <xf numFmtId="183" fontId="43" fillId="0" borderId="0" applyFont="0" applyFill="0" applyBorder="0" applyAlignment="0" applyProtection="0"/>
    <xf numFmtId="248" fontId="43" fillId="0" borderId="0" applyFont="0" applyFill="0" applyBorder="0" applyAlignment="0" applyProtection="0"/>
    <xf numFmtId="184" fontId="40" fillId="0" borderId="0" applyFont="0" applyFill="0" applyBorder="0" applyAlignment="0" applyProtection="0"/>
    <xf numFmtId="190" fontId="43" fillId="0" borderId="0" applyFont="0" applyFill="0" applyBorder="0" applyAlignment="0" applyProtection="0"/>
    <xf numFmtId="184" fontId="43" fillId="0" borderId="0" applyFont="0" applyFill="0" applyBorder="0" applyAlignment="0" applyProtection="0"/>
    <xf numFmtId="181" fontId="40" fillId="0" borderId="0" applyFont="0" applyFill="0" applyBorder="0" applyAlignment="0" applyProtection="0"/>
    <xf numFmtId="0" fontId="50" fillId="0" borderId="0"/>
    <xf numFmtId="251" fontId="43" fillId="0" borderId="0" applyFont="0" applyFill="0" applyBorder="0" applyAlignment="0" applyProtection="0"/>
    <xf numFmtId="220" fontId="69" fillId="0" borderId="0" applyFont="0" applyFill="0" applyBorder="0" applyAlignment="0" applyProtection="0"/>
    <xf numFmtId="181" fontId="43" fillId="0" borderId="0" applyFont="0" applyFill="0" applyBorder="0" applyAlignment="0" applyProtection="0"/>
    <xf numFmtId="190" fontId="43" fillId="0" borderId="0" applyFont="0" applyFill="0" applyBorder="0" applyAlignment="0" applyProtection="0"/>
    <xf numFmtId="169" fontId="76" fillId="0" borderId="0" applyFont="0" applyFill="0" applyBorder="0" applyAlignment="0" applyProtection="0"/>
    <xf numFmtId="181" fontId="43" fillId="0" borderId="0" applyFont="0" applyFill="0" applyBorder="0" applyAlignment="0" applyProtection="0"/>
    <xf numFmtId="178" fontId="13" fillId="0" borderId="0" applyFont="0" applyFill="0" applyBorder="0" applyAlignment="0" applyProtection="0"/>
    <xf numFmtId="181" fontId="43" fillId="0" borderId="0" applyFont="0" applyFill="0" applyBorder="0" applyAlignment="0" applyProtection="0"/>
    <xf numFmtId="178" fontId="13" fillId="0" borderId="0" applyFont="0" applyFill="0" applyBorder="0" applyAlignment="0" applyProtection="0"/>
    <xf numFmtId="248" fontId="43" fillId="0" borderId="0" applyFont="0" applyFill="0" applyBorder="0" applyAlignment="0" applyProtection="0"/>
    <xf numFmtId="178" fontId="13" fillId="0" borderId="0" applyFont="0" applyFill="0" applyBorder="0" applyAlignment="0" applyProtection="0"/>
    <xf numFmtId="248" fontId="43" fillId="0" borderId="0" applyFont="0" applyFill="0" applyBorder="0" applyAlignment="0" applyProtection="0"/>
    <xf numFmtId="169" fontId="76" fillId="0" borderId="0" applyFont="0" applyFill="0" applyBorder="0" applyAlignment="0" applyProtection="0"/>
    <xf numFmtId="181" fontId="43" fillId="0" borderId="0" applyFont="0" applyFill="0" applyBorder="0" applyAlignment="0" applyProtection="0"/>
    <xf numFmtId="169" fontId="76" fillId="0" borderId="0" applyFont="0" applyFill="0" applyBorder="0" applyAlignment="0" applyProtection="0"/>
    <xf numFmtId="248" fontId="43" fillId="0" borderId="0" applyFont="0" applyFill="0" applyBorder="0" applyAlignment="0" applyProtection="0"/>
    <xf numFmtId="181" fontId="43" fillId="0" borderId="0" applyFont="0" applyFill="0" applyBorder="0" applyAlignment="0" applyProtection="0"/>
    <xf numFmtId="178" fontId="43" fillId="0" borderId="0" applyFont="0" applyFill="0" applyBorder="0" applyAlignment="0" applyProtection="0"/>
    <xf numFmtId="252" fontId="43" fillId="0" borderId="0" applyFont="0" applyFill="0" applyBorder="0" applyAlignment="0" applyProtection="0"/>
    <xf numFmtId="164" fontId="43" fillId="0" borderId="0" applyFont="0" applyFill="0" applyBorder="0" applyAlignment="0" applyProtection="0"/>
    <xf numFmtId="235" fontId="43" fillId="0" borderId="0" applyFont="0" applyFill="0" applyBorder="0" applyAlignment="0" applyProtection="0"/>
    <xf numFmtId="164" fontId="43" fillId="0" borderId="0" applyFont="0" applyFill="0" applyBorder="0" applyAlignment="0" applyProtection="0"/>
    <xf numFmtId="184" fontId="40" fillId="0" borderId="0" applyFont="0" applyFill="0" applyBorder="0" applyAlignment="0" applyProtection="0"/>
    <xf numFmtId="248" fontId="43" fillId="0" borderId="0" applyFont="0" applyFill="0" applyBorder="0" applyAlignment="0" applyProtection="0"/>
    <xf numFmtId="41" fontId="43" fillId="0" borderId="0" applyFont="0" applyFill="0" applyBorder="0" applyAlignment="0" applyProtection="0"/>
    <xf numFmtId="235" fontId="43" fillId="0" borderId="0" applyFont="0" applyFill="0" applyBorder="0" applyAlignment="0" applyProtection="0"/>
    <xf numFmtId="178" fontId="43" fillId="0" borderId="0" applyFont="0" applyFill="0" applyBorder="0" applyAlignment="0" applyProtection="0"/>
    <xf numFmtId="235" fontId="43" fillId="0" borderId="0" applyFont="0" applyFill="0" applyBorder="0" applyAlignment="0" applyProtection="0"/>
    <xf numFmtId="178" fontId="43" fillId="0" borderId="0" applyFont="0" applyFill="0" applyBorder="0" applyAlignment="0" applyProtection="0"/>
    <xf numFmtId="184" fontId="43" fillId="0" borderId="0" applyFont="0" applyFill="0" applyBorder="0" applyAlignment="0" applyProtection="0"/>
    <xf numFmtId="178" fontId="43" fillId="0" borderId="0" applyFont="0" applyFill="0" applyBorder="0" applyAlignment="0" applyProtection="0"/>
    <xf numFmtId="244" fontId="129" fillId="0" borderId="0" applyFont="0" applyFill="0" applyBorder="0" applyAlignment="0" applyProtection="0"/>
    <xf numFmtId="178" fontId="43" fillId="0" borderId="0" applyFont="0" applyFill="0" applyBorder="0" applyAlignment="0" applyProtection="0"/>
    <xf numFmtId="245" fontId="43" fillId="0" borderId="0" applyFont="0" applyFill="0" applyBorder="0" applyAlignment="0" applyProtection="0"/>
    <xf numFmtId="41" fontId="43" fillId="0" borderId="0" applyFont="0" applyFill="0" applyBorder="0" applyAlignment="0" applyProtection="0"/>
    <xf numFmtId="184" fontId="43" fillId="0" borderId="0" applyFont="0" applyFill="0" applyBorder="0" applyAlignment="0" applyProtection="0"/>
    <xf numFmtId="164" fontId="43" fillId="0" borderId="0" applyFont="0" applyFill="0" applyBorder="0" applyAlignment="0" applyProtection="0"/>
    <xf numFmtId="246" fontId="43" fillId="0" borderId="0" applyFont="0" applyFill="0" applyBorder="0" applyAlignment="0" applyProtection="0"/>
    <xf numFmtId="164" fontId="43" fillId="0" borderId="0" applyFont="0" applyFill="0" applyBorder="0" applyAlignment="0" applyProtection="0"/>
    <xf numFmtId="235" fontId="43" fillId="0" borderId="0" applyFont="0" applyFill="0" applyBorder="0" applyAlignment="0" applyProtection="0"/>
    <xf numFmtId="181" fontId="43" fillId="0" borderId="0" applyFont="0" applyFill="0" applyBorder="0" applyAlignment="0" applyProtection="0"/>
    <xf numFmtId="184" fontId="40" fillId="0" borderId="0" applyFont="0" applyFill="0" applyBorder="0" applyAlignment="0" applyProtection="0"/>
    <xf numFmtId="178" fontId="43" fillId="0" borderId="0" applyFont="0" applyFill="0" applyBorder="0" applyAlignment="0" applyProtection="0"/>
    <xf numFmtId="235" fontId="43" fillId="0" borderId="0" applyFont="0" applyFill="0" applyBorder="0" applyAlignment="0" applyProtection="0"/>
    <xf numFmtId="178" fontId="43" fillId="0" borderId="0" applyFont="0" applyFill="0" applyBorder="0" applyAlignment="0" applyProtection="0"/>
    <xf numFmtId="235" fontId="43" fillId="0" borderId="0" applyFont="0" applyFill="0" applyBorder="0" applyAlignment="0" applyProtection="0"/>
    <xf numFmtId="181" fontId="43" fillId="0" borderId="0" applyFont="0" applyFill="0" applyBorder="0" applyAlignment="0" applyProtection="0"/>
    <xf numFmtId="184" fontId="43" fillId="0" borderId="0" applyFont="0" applyFill="0" applyBorder="0" applyAlignment="0" applyProtection="0"/>
    <xf numFmtId="181" fontId="43" fillId="0" borderId="0" applyFont="0" applyFill="0" applyBorder="0" applyAlignment="0" applyProtection="0"/>
    <xf numFmtId="244" fontId="129" fillId="0" borderId="0" applyFont="0" applyFill="0" applyBorder="0" applyAlignment="0" applyProtection="0"/>
    <xf numFmtId="164" fontId="43" fillId="0" borderId="0" applyFont="0" applyFill="0" applyBorder="0" applyAlignment="0" applyProtection="0"/>
    <xf numFmtId="245" fontId="43" fillId="0" borderId="0" applyFont="0" applyFill="0" applyBorder="0" applyAlignment="0" applyProtection="0"/>
    <xf numFmtId="41" fontId="43" fillId="0" borderId="0" applyFont="0" applyFill="0" applyBorder="0" applyAlignment="0" applyProtection="0"/>
    <xf numFmtId="184" fontId="43" fillId="0" borderId="0" applyFont="0" applyFill="0" applyBorder="0" applyAlignment="0" applyProtection="0"/>
    <xf numFmtId="178" fontId="43" fillId="0" borderId="0" applyFont="0" applyFill="0" applyBorder="0" applyAlignment="0" applyProtection="0"/>
    <xf numFmtId="246" fontId="43" fillId="0" borderId="0" applyFont="0" applyFill="0" applyBorder="0" applyAlignment="0" applyProtection="0"/>
    <xf numFmtId="181" fontId="43" fillId="0" borderId="0" applyFont="0" applyFill="0" applyBorder="0" applyAlignment="0" applyProtection="0"/>
    <xf numFmtId="41" fontId="43" fillId="0" borderId="0" applyFont="0" applyFill="0" applyBorder="0" applyAlignment="0" applyProtection="0"/>
    <xf numFmtId="181" fontId="43" fillId="0" borderId="0" applyFont="0" applyFill="0" applyBorder="0" applyAlignment="0" applyProtection="0"/>
    <xf numFmtId="41" fontId="43" fillId="0" borderId="0" applyFont="0" applyFill="0" applyBorder="0" applyAlignment="0" applyProtection="0"/>
    <xf numFmtId="248" fontId="43" fillId="0" borderId="0" applyFont="0" applyFill="0" applyBorder="0" applyAlignment="0" applyProtection="0"/>
    <xf numFmtId="178" fontId="43" fillId="0" borderId="0" applyFont="0" applyFill="0" applyBorder="0" applyAlignment="0" applyProtection="0"/>
    <xf numFmtId="41" fontId="43" fillId="0" borderId="0" applyFont="0" applyFill="0" applyBorder="0" applyAlignment="0" applyProtection="0"/>
    <xf numFmtId="252" fontId="43" fillId="0" borderId="0" applyFont="0" applyFill="0" applyBorder="0" applyAlignment="0" applyProtection="0"/>
    <xf numFmtId="253" fontId="43" fillId="0" borderId="0" applyFont="0" applyFill="0" applyBorder="0" applyAlignment="0" applyProtection="0"/>
    <xf numFmtId="41"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184" fontId="43" fillId="0" borderId="0" applyFont="0" applyFill="0" applyBorder="0" applyAlignment="0" applyProtection="0"/>
    <xf numFmtId="183" fontId="43" fillId="0" borderId="0" applyFont="0" applyFill="0" applyBorder="0" applyAlignment="0" applyProtection="0"/>
    <xf numFmtId="184" fontId="40" fillId="0" borderId="0" applyFont="0" applyFill="0" applyBorder="0" applyAlignment="0" applyProtection="0"/>
    <xf numFmtId="248" fontId="43" fillId="0" borderId="0" applyFont="0" applyFill="0" applyBorder="0" applyAlignment="0" applyProtection="0"/>
    <xf numFmtId="183" fontId="43" fillId="0" borderId="0" applyFont="0" applyFill="0" applyBorder="0" applyAlignment="0" applyProtection="0"/>
    <xf numFmtId="184" fontId="43" fillId="0" borderId="0" applyFont="0" applyFill="0" applyBorder="0" applyAlignment="0" applyProtection="0"/>
    <xf numFmtId="246" fontId="43" fillId="0" borderId="0" applyFont="0" applyFill="0" applyBorder="0" applyAlignment="0" applyProtection="0"/>
    <xf numFmtId="0" fontId="50" fillId="0" borderId="0"/>
    <xf numFmtId="220" fontId="69" fillId="0" borderId="0" applyFont="0" applyFill="0" applyBorder="0" applyAlignment="0" applyProtection="0"/>
    <xf numFmtId="164" fontId="43" fillId="0" borderId="0" applyFont="0" applyFill="0" applyBorder="0" applyAlignment="0" applyProtection="0"/>
    <xf numFmtId="178" fontId="43" fillId="0" borderId="0" applyFont="0" applyFill="0" applyBorder="0" applyAlignment="0" applyProtection="0"/>
    <xf numFmtId="164" fontId="43" fillId="0" borderId="0" applyFont="0" applyFill="0" applyBorder="0" applyAlignment="0" applyProtection="0"/>
    <xf numFmtId="181" fontId="43" fillId="0" borderId="0" applyFont="0" applyFill="0" applyBorder="0" applyAlignment="0" applyProtection="0"/>
    <xf numFmtId="178" fontId="43" fillId="0" borderId="0" applyFont="0" applyFill="0" applyBorder="0" applyAlignment="0" applyProtection="0"/>
    <xf numFmtId="190" fontId="43" fillId="0" borderId="0" applyFont="0" applyFill="0" applyBorder="0" applyAlignment="0" applyProtection="0"/>
    <xf numFmtId="178" fontId="43" fillId="0" borderId="0" applyFont="0" applyFill="0" applyBorder="0" applyAlignment="0" applyProtection="0"/>
    <xf numFmtId="178" fontId="43" fillId="0" borderId="0" applyFont="0" applyFill="0" applyBorder="0" applyAlignment="0" applyProtection="0"/>
    <xf numFmtId="181" fontId="43" fillId="0" borderId="0" applyFont="0" applyFill="0" applyBorder="0" applyAlignment="0" applyProtection="0"/>
    <xf numFmtId="181" fontId="43" fillId="0" borderId="0" applyFont="0" applyFill="0" applyBorder="0" applyAlignment="0" applyProtection="0"/>
    <xf numFmtId="181" fontId="43" fillId="0" borderId="0" applyFont="0" applyFill="0" applyBorder="0" applyAlignment="0" applyProtection="0"/>
    <xf numFmtId="181" fontId="43" fillId="0" borderId="0" applyFont="0" applyFill="0" applyBorder="0" applyAlignment="0" applyProtection="0"/>
    <xf numFmtId="250" fontId="43" fillId="0" borderId="0" applyFont="0" applyFill="0" applyBorder="0" applyAlignment="0" applyProtection="0"/>
    <xf numFmtId="164" fontId="43" fillId="0" borderId="0" applyFont="0" applyFill="0" applyBorder="0" applyAlignment="0" applyProtection="0"/>
    <xf numFmtId="41" fontId="43" fillId="0" borderId="0" applyFont="0" applyFill="0" applyBorder="0" applyAlignment="0" applyProtection="0"/>
    <xf numFmtId="178" fontId="43" fillId="0" borderId="0" applyFont="0" applyFill="0" applyBorder="0" applyAlignment="0" applyProtection="0"/>
    <xf numFmtId="181" fontId="40" fillId="0" borderId="0" applyFont="0" applyFill="0" applyBorder="0" applyAlignment="0" applyProtection="0"/>
    <xf numFmtId="178" fontId="43" fillId="0" borderId="0" applyFont="0" applyFill="0" applyBorder="0" applyAlignment="0" applyProtection="0"/>
    <xf numFmtId="181" fontId="43" fillId="0" borderId="0" applyFont="0" applyFill="0" applyBorder="0" applyAlignment="0" applyProtection="0"/>
    <xf numFmtId="178" fontId="43" fillId="0" borderId="0" applyFont="0" applyFill="0" applyBorder="0" applyAlignment="0" applyProtection="0"/>
    <xf numFmtId="41" fontId="43" fillId="0" borderId="0" applyFont="0" applyFill="0" applyBorder="0" applyAlignment="0" applyProtection="0"/>
    <xf numFmtId="178" fontId="43" fillId="0" borderId="0" applyFont="0" applyFill="0" applyBorder="0" applyAlignment="0" applyProtection="0"/>
    <xf numFmtId="250" fontId="43" fillId="0" borderId="0" applyFont="0" applyFill="0" applyBorder="0" applyAlignment="0" applyProtection="0"/>
    <xf numFmtId="164" fontId="43" fillId="0" borderId="0" applyFont="0" applyFill="0" applyBorder="0" applyAlignment="0" applyProtection="0"/>
    <xf numFmtId="250" fontId="43" fillId="0" borderId="0" applyFont="0" applyFill="0" applyBorder="0" applyAlignment="0" applyProtection="0"/>
    <xf numFmtId="181" fontId="43" fillId="0" borderId="0" applyFont="0" applyFill="0" applyBorder="0" applyAlignment="0" applyProtection="0"/>
    <xf numFmtId="41" fontId="43" fillId="0" borderId="0" applyFont="0" applyFill="0" applyBorder="0" applyAlignment="0" applyProtection="0"/>
    <xf numFmtId="14" fontId="179" fillId="0" borderId="0"/>
    <xf numFmtId="0" fontId="180" fillId="0" borderId="0"/>
    <xf numFmtId="221" fontId="69" fillId="0" borderId="6">
      <alignment horizontal="right" vertical="center"/>
    </xf>
    <xf numFmtId="210" fontId="181" fillId="0" borderId="6">
      <alignment horizontal="right" vertical="center"/>
    </xf>
    <xf numFmtId="210" fontId="181" fillId="0" borderId="6">
      <alignment horizontal="right" vertical="center"/>
    </xf>
    <xf numFmtId="221" fontId="69"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210" fontId="181" fillId="0" borderId="6">
      <alignment horizontal="right" vertical="center"/>
    </xf>
    <xf numFmtId="210" fontId="181" fillId="0" borderId="6">
      <alignment horizontal="right" vertical="center"/>
    </xf>
    <xf numFmtId="210" fontId="181" fillId="0" borderId="6">
      <alignment horizontal="right" vertical="center"/>
    </xf>
    <xf numFmtId="210" fontId="181" fillId="0" borderId="6">
      <alignment horizontal="right" vertical="center"/>
    </xf>
    <xf numFmtId="210" fontId="181" fillId="0" borderId="6">
      <alignment horizontal="right" vertical="center"/>
    </xf>
    <xf numFmtId="210" fontId="181" fillId="0" borderId="6">
      <alignment horizontal="right" vertical="center"/>
    </xf>
    <xf numFmtId="210" fontId="181" fillId="0" borderId="6">
      <alignment horizontal="right" vertical="center"/>
    </xf>
    <xf numFmtId="210" fontId="181" fillId="0" borderId="6">
      <alignment horizontal="right" vertical="center"/>
    </xf>
    <xf numFmtId="210" fontId="181" fillId="0" borderId="6">
      <alignment horizontal="right" vertical="center"/>
    </xf>
    <xf numFmtId="210" fontId="181"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325" fontId="43" fillId="0" borderId="6">
      <alignment horizontal="right" vertical="center"/>
    </xf>
    <xf numFmtId="325" fontId="43"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326" fontId="138" fillId="0" borderId="6">
      <alignment horizontal="right" vertical="center"/>
    </xf>
    <xf numFmtId="327" fontId="4" fillId="0" borderId="6">
      <alignment horizontal="right" vertical="center"/>
    </xf>
    <xf numFmtId="327" fontId="4" fillId="0" borderId="6">
      <alignment horizontal="right" vertical="center"/>
    </xf>
    <xf numFmtId="325" fontId="43" fillId="0" borderId="6">
      <alignment horizontal="right" vertical="center"/>
    </xf>
    <xf numFmtId="325" fontId="43"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7" fontId="5" fillId="0" borderId="6">
      <alignment horizontal="right" vertical="center"/>
    </xf>
    <xf numFmtId="327" fontId="5" fillId="0" borderId="6">
      <alignment horizontal="right" vertical="center"/>
    </xf>
    <xf numFmtId="327" fontId="4" fillId="0" borderId="6">
      <alignment horizontal="right" vertical="center"/>
    </xf>
    <xf numFmtId="327" fontId="4" fillId="0" borderId="6">
      <alignment horizontal="right" vertical="center"/>
    </xf>
    <xf numFmtId="327" fontId="4" fillId="0" borderId="6">
      <alignment horizontal="right" vertical="center"/>
    </xf>
    <xf numFmtId="327" fontId="4"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5" fontId="43" fillId="0" borderId="6">
      <alignment horizontal="right" vertical="center"/>
    </xf>
    <xf numFmtId="325" fontId="43" fillId="0" borderId="6">
      <alignment horizontal="right" vertical="center"/>
    </xf>
    <xf numFmtId="327" fontId="5" fillId="0" borderId="6">
      <alignment horizontal="right" vertical="center"/>
    </xf>
    <xf numFmtId="327" fontId="5" fillId="0" borderId="6">
      <alignment horizontal="right" vertical="center"/>
    </xf>
    <xf numFmtId="327" fontId="4" fillId="0" borderId="6">
      <alignment horizontal="right" vertical="center"/>
    </xf>
    <xf numFmtId="327" fontId="4" fillId="0" borderId="6">
      <alignment horizontal="right" vertical="center"/>
    </xf>
    <xf numFmtId="327" fontId="4" fillId="0" borderId="6">
      <alignment horizontal="right" vertical="center"/>
    </xf>
    <xf numFmtId="327" fontId="4" fillId="0" borderId="6">
      <alignment horizontal="right" vertical="center"/>
    </xf>
    <xf numFmtId="327" fontId="4" fillId="0" borderId="6">
      <alignment horizontal="right" vertical="center"/>
    </xf>
    <xf numFmtId="327" fontId="4"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5" fontId="43" fillId="0" borderId="6">
      <alignment horizontal="right" vertical="center"/>
    </xf>
    <xf numFmtId="325" fontId="43" fillId="0" borderId="6">
      <alignment horizontal="right" vertical="center"/>
    </xf>
    <xf numFmtId="325" fontId="43" fillId="0" borderId="6">
      <alignment horizontal="right" vertical="center"/>
    </xf>
    <xf numFmtId="325" fontId="43"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5" fontId="43" fillId="0" borderId="6">
      <alignment horizontal="right" vertical="center"/>
    </xf>
    <xf numFmtId="325" fontId="43" fillId="0" borderId="6">
      <alignment horizontal="right" vertical="center"/>
    </xf>
    <xf numFmtId="222" fontId="5" fillId="0" borderId="6">
      <alignment horizontal="right" vertical="center"/>
    </xf>
    <xf numFmtId="222" fontId="5" fillId="0" borderId="6">
      <alignment horizontal="right" vertical="center"/>
    </xf>
    <xf numFmtId="222" fontId="4" fillId="0" borderId="6">
      <alignment horizontal="right" vertical="center"/>
    </xf>
    <xf numFmtId="222" fontId="4" fillId="0" borderId="6">
      <alignment horizontal="right" vertical="center"/>
    </xf>
    <xf numFmtId="222" fontId="4" fillId="0" borderId="6">
      <alignment horizontal="right" vertical="center"/>
    </xf>
    <xf numFmtId="222" fontId="4"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329" fontId="76" fillId="0" borderId="6">
      <alignment horizontal="right" vertical="center"/>
    </xf>
    <xf numFmtId="329" fontId="76" fillId="0" borderId="6">
      <alignment horizontal="right" vertical="center"/>
    </xf>
    <xf numFmtId="329" fontId="76" fillId="0" borderId="6">
      <alignment horizontal="right" vertical="center"/>
    </xf>
    <xf numFmtId="329" fontId="76" fillId="0" borderId="6">
      <alignment horizontal="right" vertical="center"/>
    </xf>
    <xf numFmtId="222" fontId="5" fillId="0" borderId="6">
      <alignment horizontal="right" vertical="center"/>
    </xf>
    <xf numFmtId="222" fontId="5" fillId="0" borderId="6">
      <alignment horizontal="right" vertical="center"/>
    </xf>
    <xf numFmtId="222" fontId="4" fillId="0" borderId="6">
      <alignment horizontal="right" vertical="center"/>
    </xf>
    <xf numFmtId="222" fontId="4" fillId="0" borderId="6">
      <alignment horizontal="right" vertical="center"/>
    </xf>
    <xf numFmtId="222" fontId="4" fillId="0" borderId="6">
      <alignment horizontal="right" vertical="center"/>
    </xf>
    <xf numFmtId="222" fontId="4" fillId="0" borderId="6">
      <alignment horizontal="right" vertical="center"/>
    </xf>
    <xf numFmtId="329" fontId="76" fillId="0" borderId="6">
      <alignment horizontal="right" vertical="center"/>
    </xf>
    <xf numFmtId="329" fontId="76" fillId="0" borderId="6">
      <alignment horizontal="right" vertical="center"/>
    </xf>
    <xf numFmtId="329" fontId="76" fillId="0" borderId="6">
      <alignment horizontal="right" vertical="center"/>
    </xf>
    <xf numFmtId="329" fontId="76" fillId="0" borderId="6">
      <alignment horizontal="right" vertical="center"/>
    </xf>
    <xf numFmtId="329" fontId="76" fillId="0" borderId="6">
      <alignment horizontal="right" vertical="center"/>
    </xf>
    <xf numFmtId="329" fontId="76" fillId="0" borderId="6">
      <alignment horizontal="right" vertical="center"/>
    </xf>
    <xf numFmtId="329" fontId="76" fillId="0" borderId="6">
      <alignment horizontal="right" vertical="center"/>
    </xf>
    <xf numFmtId="329" fontId="76" fillId="0" borderId="6">
      <alignment horizontal="right" vertical="center"/>
    </xf>
    <xf numFmtId="325" fontId="43" fillId="0" borderId="6">
      <alignment horizontal="right" vertical="center"/>
    </xf>
    <xf numFmtId="325" fontId="43" fillId="0" borderId="6">
      <alignment horizontal="right" vertical="center"/>
    </xf>
    <xf numFmtId="222" fontId="4" fillId="0" borderId="6">
      <alignment horizontal="right" vertical="center"/>
    </xf>
    <xf numFmtId="222" fontId="4" fillId="0" borderId="6">
      <alignment horizontal="right" vertical="center"/>
    </xf>
    <xf numFmtId="222" fontId="4" fillId="0" borderId="6">
      <alignment horizontal="right" vertical="center"/>
    </xf>
    <xf numFmtId="222" fontId="4" fillId="0" borderId="6">
      <alignment horizontal="right" vertical="center"/>
    </xf>
    <xf numFmtId="222" fontId="5" fillId="0" borderId="6">
      <alignment horizontal="right" vertical="center"/>
    </xf>
    <xf numFmtId="222" fontId="5" fillId="0" borderId="6">
      <alignment horizontal="right" vertical="center"/>
    </xf>
    <xf numFmtId="222" fontId="4" fillId="0" borderId="6">
      <alignment horizontal="right" vertical="center"/>
    </xf>
    <xf numFmtId="222" fontId="4" fillId="0" borderId="6">
      <alignment horizontal="right" vertical="center"/>
    </xf>
    <xf numFmtId="325" fontId="43" fillId="0" borderId="6">
      <alignment horizontal="right" vertical="center"/>
    </xf>
    <xf numFmtId="325" fontId="43" fillId="0" borderId="6">
      <alignment horizontal="right" vertical="center"/>
    </xf>
    <xf numFmtId="325" fontId="43" fillId="0" borderId="6">
      <alignment horizontal="right" vertical="center"/>
    </xf>
    <xf numFmtId="325" fontId="43" fillId="0" borderId="6">
      <alignment horizontal="right" vertical="center"/>
    </xf>
    <xf numFmtId="325" fontId="43" fillId="0" borderId="6">
      <alignment horizontal="right" vertical="center"/>
    </xf>
    <xf numFmtId="325" fontId="43"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325" fontId="43" fillId="0" borderId="6">
      <alignment horizontal="right" vertical="center"/>
    </xf>
    <xf numFmtId="325" fontId="43"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327" fontId="4" fillId="0" borderId="6">
      <alignment horizontal="right" vertical="center"/>
    </xf>
    <xf numFmtId="327" fontId="4" fillId="0" borderId="6">
      <alignment horizontal="right" vertical="center"/>
    </xf>
    <xf numFmtId="325" fontId="43" fillId="0" borderId="6">
      <alignment horizontal="right" vertical="center"/>
    </xf>
    <xf numFmtId="325" fontId="43"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2" fontId="4" fillId="0" borderId="6">
      <alignment horizontal="right" vertical="center"/>
    </xf>
    <xf numFmtId="222" fontId="4" fillId="0" borderId="6">
      <alignment horizontal="right" vertical="center"/>
    </xf>
    <xf numFmtId="222" fontId="4" fillId="0" borderId="6">
      <alignment horizontal="right" vertical="center"/>
    </xf>
    <xf numFmtId="222" fontId="4" fillId="0" borderId="6">
      <alignment horizontal="right" vertical="center"/>
    </xf>
    <xf numFmtId="222" fontId="4" fillId="0" borderId="6">
      <alignment horizontal="right" vertical="center"/>
    </xf>
    <xf numFmtId="222" fontId="4"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222" fontId="4" fillId="0" borderId="6">
      <alignment horizontal="right" vertical="center"/>
    </xf>
    <xf numFmtId="222" fontId="4" fillId="0" borderId="6">
      <alignment horizontal="right" vertical="center"/>
    </xf>
    <xf numFmtId="222" fontId="4" fillId="0" borderId="6">
      <alignment horizontal="right" vertical="center"/>
    </xf>
    <xf numFmtId="222" fontId="4" fillId="0" borderId="6">
      <alignment horizontal="right" vertical="center"/>
    </xf>
    <xf numFmtId="222" fontId="4" fillId="0" borderId="6">
      <alignment horizontal="right" vertical="center"/>
    </xf>
    <xf numFmtId="222" fontId="4" fillId="0" borderId="6">
      <alignment horizontal="right" vertical="center"/>
    </xf>
    <xf numFmtId="222" fontId="4" fillId="0" borderId="6">
      <alignment horizontal="right" vertical="center"/>
    </xf>
    <xf numFmtId="222" fontId="4" fillId="0" borderId="6">
      <alignment horizontal="right" vertical="center"/>
    </xf>
    <xf numFmtId="222" fontId="4" fillId="0" borderId="6">
      <alignment horizontal="right" vertical="center"/>
    </xf>
    <xf numFmtId="222" fontId="4" fillId="0" borderId="6">
      <alignment horizontal="right" vertical="center"/>
    </xf>
    <xf numFmtId="222" fontId="5" fillId="0" borderId="6">
      <alignment horizontal="right" vertical="center"/>
    </xf>
    <xf numFmtId="222" fontId="5" fillId="0" borderId="6">
      <alignment horizontal="right" vertical="center"/>
    </xf>
    <xf numFmtId="222" fontId="4" fillId="0" borderId="6">
      <alignment horizontal="right" vertical="center"/>
    </xf>
    <xf numFmtId="222" fontId="4" fillId="0" borderId="6">
      <alignment horizontal="right" vertical="center"/>
    </xf>
    <xf numFmtId="222" fontId="4" fillId="0" borderId="6">
      <alignment horizontal="right" vertical="center"/>
    </xf>
    <xf numFmtId="222" fontId="4" fillId="0" borderId="6">
      <alignment horizontal="right" vertical="center"/>
    </xf>
    <xf numFmtId="222" fontId="4" fillId="0" borderId="6">
      <alignment horizontal="right" vertical="center"/>
    </xf>
    <xf numFmtId="222" fontId="4" fillId="0" borderId="6">
      <alignment horizontal="right" vertical="center"/>
    </xf>
    <xf numFmtId="222" fontId="5" fillId="0" borderId="6">
      <alignment horizontal="right" vertical="center"/>
    </xf>
    <xf numFmtId="222" fontId="5" fillId="0" borderId="6">
      <alignment horizontal="right" vertical="center"/>
    </xf>
    <xf numFmtId="222" fontId="4" fillId="0" borderId="6">
      <alignment horizontal="right" vertical="center"/>
    </xf>
    <xf numFmtId="222" fontId="4" fillId="0" borderId="6">
      <alignment horizontal="right" vertical="center"/>
    </xf>
    <xf numFmtId="222" fontId="4" fillId="0" borderId="6">
      <alignment horizontal="right" vertical="center"/>
    </xf>
    <xf numFmtId="222" fontId="4" fillId="0" borderId="6">
      <alignment horizontal="right" vertical="center"/>
    </xf>
    <xf numFmtId="222" fontId="4" fillId="0" borderId="6">
      <alignment horizontal="right" vertical="center"/>
    </xf>
    <xf numFmtId="222" fontId="4" fillId="0" borderId="6">
      <alignment horizontal="right" vertical="center"/>
    </xf>
    <xf numFmtId="222" fontId="5" fillId="0" borderId="6">
      <alignment horizontal="right" vertical="center"/>
    </xf>
    <xf numFmtId="222" fontId="5" fillId="0" borderId="6">
      <alignment horizontal="right" vertical="center"/>
    </xf>
    <xf numFmtId="222" fontId="4" fillId="0" borderId="6">
      <alignment horizontal="right" vertical="center"/>
    </xf>
    <xf numFmtId="222" fontId="4" fillId="0" borderId="6">
      <alignment horizontal="right" vertical="center"/>
    </xf>
    <xf numFmtId="325" fontId="43" fillId="0" borderId="6">
      <alignment horizontal="right" vertical="center"/>
    </xf>
    <xf numFmtId="325" fontId="4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8" fontId="13" fillId="0" borderId="6">
      <alignment horizontal="right" vertical="center"/>
    </xf>
    <xf numFmtId="327" fontId="5" fillId="0" borderId="6">
      <alignment horizontal="right" vertical="center"/>
    </xf>
    <xf numFmtId="327" fontId="5"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30" fontId="13" fillId="0" borderId="6">
      <alignment horizontal="right" vertical="center"/>
    </xf>
    <xf numFmtId="330" fontId="13" fillId="0" borderId="6">
      <alignment horizontal="right" vertical="center"/>
    </xf>
    <xf numFmtId="330" fontId="13" fillId="0" borderId="6">
      <alignment horizontal="right" vertical="center"/>
    </xf>
    <xf numFmtId="330" fontId="13" fillId="0" borderId="6">
      <alignment horizontal="right" vertical="center"/>
    </xf>
    <xf numFmtId="330" fontId="13" fillId="0" borderId="6">
      <alignment horizontal="right" vertical="center"/>
    </xf>
    <xf numFmtId="330" fontId="13" fillId="0" borderId="6">
      <alignment horizontal="right" vertical="center"/>
    </xf>
    <xf numFmtId="330" fontId="13" fillId="0" borderId="6">
      <alignment horizontal="right" vertical="center"/>
    </xf>
    <xf numFmtId="330" fontId="13" fillId="0" borderId="6">
      <alignment horizontal="right" vertical="center"/>
    </xf>
    <xf numFmtId="330" fontId="13" fillId="0" borderId="6">
      <alignment horizontal="right" vertical="center"/>
    </xf>
    <xf numFmtId="330" fontId="13" fillId="0" borderId="6">
      <alignment horizontal="right" vertical="center"/>
    </xf>
    <xf numFmtId="330" fontId="13" fillId="0" borderId="6">
      <alignment horizontal="right" vertical="center"/>
    </xf>
    <xf numFmtId="330" fontId="13"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5" fontId="13" fillId="0" borderId="6">
      <alignment horizontal="right" vertical="center"/>
    </xf>
    <xf numFmtId="225" fontId="13" fillId="0" borderId="6">
      <alignment horizontal="right" vertical="center"/>
    </xf>
    <xf numFmtId="225" fontId="13" fillId="0" borderId="6">
      <alignment horizontal="right" vertical="center"/>
    </xf>
    <xf numFmtId="225" fontId="13" fillId="0" borderId="6">
      <alignment horizontal="right" vertical="center"/>
    </xf>
    <xf numFmtId="225" fontId="13" fillId="0" borderId="6">
      <alignment horizontal="right" vertical="center"/>
    </xf>
    <xf numFmtId="225" fontId="13"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5" fontId="43" fillId="0" borderId="6">
      <alignment horizontal="right" vertical="center"/>
    </xf>
    <xf numFmtId="325" fontId="43"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324" fontId="138" fillId="0" borderId="6">
      <alignment horizontal="right" vertical="center"/>
    </xf>
    <xf numFmtId="214" fontId="13" fillId="0" borderId="6">
      <alignment horizontal="right" vertical="center"/>
    </xf>
    <xf numFmtId="214" fontId="13" fillId="0" borderId="6">
      <alignment horizontal="right" vertical="center"/>
    </xf>
    <xf numFmtId="214" fontId="13" fillId="0" borderId="6">
      <alignment horizontal="right" vertical="center"/>
    </xf>
    <xf numFmtId="214" fontId="13" fillId="0" borderId="6">
      <alignment horizontal="right" vertical="center"/>
    </xf>
    <xf numFmtId="214" fontId="13" fillId="0" borderId="6">
      <alignment horizontal="right" vertical="center"/>
    </xf>
    <xf numFmtId="214" fontId="13" fillId="0" borderId="6">
      <alignment horizontal="right" vertical="center"/>
    </xf>
    <xf numFmtId="221" fontId="69" fillId="0" borderId="6">
      <alignment horizontal="right" vertical="center"/>
    </xf>
    <xf numFmtId="210" fontId="181" fillId="0" borderId="6">
      <alignment horizontal="right" vertical="center"/>
    </xf>
    <xf numFmtId="210" fontId="181" fillId="0" borderId="6">
      <alignment horizontal="right" vertical="center"/>
    </xf>
    <xf numFmtId="210" fontId="181" fillId="0" borderId="6">
      <alignment horizontal="right" vertical="center"/>
    </xf>
    <xf numFmtId="210" fontId="181" fillId="0" borderId="6">
      <alignment horizontal="right" vertical="center"/>
    </xf>
    <xf numFmtId="210" fontId="181" fillId="0" borderId="6">
      <alignment horizontal="right" vertical="center"/>
    </xf>
    <xf numFmtId="210" fontId="181" fillId="0" borderId="6">
      <alignment horizontal="right" vertical="center"/>
    </xf>
    <xf numFmtId="210" fontId="181" fillId="0" borderId="6">
      <alignment horizontal="right" vertical="center"/>
    </xf>
    <xf numFmtId="210" fontId="181" fillId="0" borderId="6">
      <alignment horizontal="right" vertical="center"/>
    </xf>
    <xf numFmtId="210" fontId="181" fillId="0" borderId="6">
      <alignment horizontal="right" vertical="center"/>
    </xf>
    <xf numFmtId="210" fontId="181" fillId="0" borderId="6">
      <alignment horizontal="right" vertical="center"/>
    </xf>
    <xf numFmtId="210" fontId="181" fillId="0" borderId="6">
      <alignment horizontal="right" vertical="center"/>
    </xf>
    <xf numFmtId="210" fontId="181" fillId="0" borderId="6">
      <alignment horizontal="right" vertical="center"/>
    </xf>
    <xf numFmtId="223" fontId="182" fillId="22" borderId="36" applyFont="0" applyFill="0" applyBorder="0"/>
    <xf numFmtId="223" fontId="182" fillId="22" borderId="36" applyFont="0" applyFill="0" applyBorder="0"/>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330" fontId="13" fillId="0" borderId="6">
      <alignment horizontal="right" vertical="center"/>
    </xf>
    <xf numFmtId="330" fontId="13" fillId="0" borderId="6">
      <alignment horizontal="right" vertical="center"/>
    </xf>
    <xf numFmtId="330" fontId="13" fillId="0" borderId="6">
      <alignment horizontal="right" vertical="center"/>
    </xf>
    <xf numFmtId="330" fontId="13" fillId="0" borderId="6">
      <alignment horizontal="right" vertical="center"/>
    </xf>
    <xf numFmtId="330" fontId="13" fillId="0" borderId="6">
      <alignment horizontal="right" vertical="center"/>
    </xf>
    <xf numFmtId="330" fontId="13" fillId="0" borderId="6">
      <alignment horizontal="right" vertical="center"/>
    </xf>
    <xf numFmtId="330" fontId="13" fillId="0" borderId="6">
      <alignment horizontal="right" vertical="center"/>
    </xf>
    <xf numFmtId="330" fontId="13" fillId="0" borderId="6">
      <alignment horizontal="right" vertical="center"/>
    </xf>
    <xf numFmtId="330" fontId="13" fillId="0" borderId="6">
      <alignment horizontal="right" vertical="center"/>
    </xf>
    <xf numFmtId="330" fontId="13" fillId="0" borderId="6">
      <alignment horizontal="right" vertical="center"/>
    </xf>
    <xf numFmtId="330" fontId="13" fillId="0" borderId="6">
      <alignment horizontal="right" vertical="center"/>
    </xf>
    <xf numFmtId="330" fontId="13"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326" fontId="138"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1" fontId="69" fillId="0" borderId="6">
      <alignment horizontal="right" vertical="center"/>
    </xf>
    <xf numFmtId="224" fontId="183" fillId="0" borderId="6">
      <alignment horizontal="right" vertical="center"/>
    </xf>
    <xf numFmtId="224" fontId="183" fillId="0" borderId="6">
      <alignment horizontal="right" vertical="center"/>
    </xf>
    <xf numFmtId="224" fontId="183" fillId="0" borderId="6">
      <alignment horizontal="right" vertical="center"/>
    </xf>
    <xf numFmtId="224" fontId="183" fillId="0" borderId="6">
      <alignment horizontal="right" vertical="center"/>
    </xf>
    <xf numFmtId="224" fontId="183" fillId="0" borderId="6">
      <alignment horizontal="right" vertical="center"/>
    </xf>
    <xf numFmtId="224" fontId="183" fillId="0" borderId="6">
      <alignment horizontal="right" vertical="center"/>
    </xf>
    <xf numFmtId="224" fontId="183" fillId="0" borderId="6">
      <alignment horizontal="right" vertical="center"/>
    </xf>
    <xf numFmtId="224" fontId="183" fillId="0" borderId="6">
      <alignment horizontal="right" vertical="center"/>
    </xf>
    <xf numFmtId="224" fontId="183" fillId="0" borderId="6">
      <alignment horizontal="right" vertical="center"/>
    </xf>
    <xf numFmtId="224" fontId="183" fillId="0" borderId="6">
      <alignment horizontal="right" vertical="center"/>
    </xf>
    <xf numFmtId="224" fontId="183" fillId="0" borderId="6">
      <alignment horizontal="right" vertical="center"/>
    </xf>
    <xf numFmtId="224" fontId="183" fillId="0" borderId="6">
      <alignment horizontal="right" vertical="center"/>
    </xf>
    <xf numFmtId="224" fontId="183" fillId="0" borderId="6">
      <alignment horizontal="right" vertical="center"/>
    </xf>
    <xf numFmtId="224" fontId="183" fillId="0" borderId="6">
      <alignment horizontal="right" vertical="center"/>
    </xf>
    <xf numFmtId="224" fontId="183" fillId="0" borderId="6">
      <alignment horizontal="right" vertical="center"/>
    </xf>
    <xf numFmtId="224" fontId="183" fillId="0" borderId="6">
      <alignment horizontal="right" vertical="center"/>
    </xf>
    <xf numFmtId="224" fontId="183" fillId="0" borderId="6">
      <alignment horizontal="right" vertical="center"/>
    </xf>
    <xf numFmtId="224" fontId="183" fillId="0" borderId="6">
      <alignment horizontal="right" vertical="center"/>
    </xf>
    <xf numFmtId="221" fontId="69" fillId="0" borderId="6">
      <alignment horizontal="right" vertical="center"/>
    </xf>
    <xf numFmtId="221" fontId="69" fillId="0" borderId="6">
      <alignment horizontal="right" vertical="center"/>
    </xf>
    <xf numFmtId="325" fontId="43" fillId="0" borderId="6">
      <alignment horizontal="right" vertical="center"/>
    </xf>
    <xf numFmtId="325" fontId="43" fillId="0" borderId="6">
      <alignment horizontal="right" vertical="center"/>
    </xf>
    <xf numFmtId="331" fontId="5" fillId="0" borderId="0" applyFill="0" applyBorder="0" applyAlignment="0"/>
    <xf numFmtId="331" fontId="5" fillId="0" borderId="0" applyFill="0" applyBorder="0" applyAlignment="0"/>
    <xf numFmtId="331" fontId="5" fillId="0" borderId="0" applyFill="0" applyBorder="0" applyAlignment="0"/>
    <xf numFmtId="331" fontId="5" fillId="0" borderId="0" applyFill="0" applyBorder="0" applyAlignment="0"/>
    <xf numFmtId="331" fontId="5" fillId="0" borderId="0" applyFill="0" applyBorder="0" applyAlignment="0"/>
    <xf numFmtId="331" fontId="5" fillId="0" borderId="0" applyFill="0" applyBorder="0" applyAlignment="0"/>
    <xf numFmtId="331" fontId="5" fillId="0" borderId="0" applyFill="0" applyBorder="0" applyAlignment="0"/>
    <xf numFmtId="331" fontId="5" fillId="0" borderId="0" applyFill="0" applyBorder="0" applyAlignment="0"/>
    <xf numFmtId="331" fontId="5" fillId="0" borderId="0" applyFill="0" applyBorder="0" applyAlignment="0"/>
    <xf numFmtId="331" fontId="5" fillId="0" borderId="0" applyFill="0" applyBorder="0" applyAlignment="0"/>
    <xf numFmtId="331" fontId="5" fillId="0" borderId="0" applyFill="0" applyBorder="0" applyAlignment="0"/>
    <xf numFmtId="331" fontId="5" fillId="0" borderId="0" applyFill="0" applyBorder="0" applyAlignment="0"/>
    <xf numFmtId="331" fontId="5" fillId="0" borderId="0" applyFill="0" applyBorder="0" applyAlignment="0"/>
    <xf numFmtId="331" fontId="5" fillId="0" borderId="0" applyFill="0" applyBorder="0" applyAlignment="0"/>
    <xf numFmtId="332" fontId="5" fillId="0" borderId="0" applyFill="0" applyBorder="0" applyAlignment="0"/>
    <xf numFmtId="332" fontId="5" fillId="0" borderId="0" applyFill="0" applyBorder="0" applyAlignment="0"/>
    <xf numFmtId="332" fontId="5" fillId="0" borderId="0" applyFill="0" applyBorder="0" applyAlignment="0"/>
    <xf numFmtId="332" fontId="5" fillId="0" borderId="0" applyFill="0" applyBorder="0" applyAlignment="0"/>
    <xf numFmtId="332" fontId="5" fillId="0" borderId="0" applyFill="0" applyBorder="0" applyAlignment="0"/>
    <xf numFmtId="332" fontId="5" fillId="0" borderId="0" applyFill="0" applyBorder="0" applyAlignment="0"/>
    <xf numFmtId="332" fontId="5" fillId="0" borderId="0" applyFill="0" applyBorder="0" applyAlignment="0"/>
    <xf numFmtId="332" fontId="5" fillId="0" borderId="0" applyFill="0" applyBorder="0" applyAlignment="0"/>
    <xf numFmtId="332" fontId="5" fillId="0" borderId="0" applyFill="0" applyBorder="0" applyAlignment="0"/>
    <xf numFmtId="332" fontId="5" fillId="0" borderId="0" applyFill="0" applyBorder="0" applyAlignment="0"/>
    <xf numFmtId="332" fontId="5" fillId="0" borderId="0" applyFill="0" applyBorder="0" applyAlignment="0"/>
    <xf numFmtId="332" fontId="5" fillId="0" borderId="0" applyFill="0" applyBorder="0" applyAlignment="0"/>
    <xf numFmtId="332" fontId="5" fillId="0" borderId="0" applyFill="0" applyBorder="0" applyAlignment="0"/>
    <xf numFmtId="332" fontId="5" fillId="0" borderId="0" applyFill="0" applyBorder="0" applyAlignment="0"/>
    <xf numFmtId="0" fontId="184" fillId="0" borderId="0" applyFill="0" applyBorder="0" applyProtection="0">
      <alignment horizontal="left" vertical="top"/>
    </xf>
    <xf numFmtId="0" fontId="185" fillId="0" borderId="17">
      <alignment horizontal="center" vertical="center" wrapText="1"/>
    </xf>
    <xf numFmtId="0" fontId="186" fillId="0" borderId="0">
      <alignment horizontal="center"/>
    </xf>
    <xf numFmtId="3" fontId="187" fillId="0" borderId="4" applyNumberFormat="0" applyAlignment="0">
      <alignment horizontal="center" vertical="center"/>
    </xf>
    <xf numFmtId="3" fontId="188" fillId="0" borderId="17" applyNumberFormat="0" applyAlignment="0">
      <alignment horizontal="left" wrapText="1"/>
    </xf>
    <xf numFmtId="3" fontId="187" fillId="0" borderId="4" applyNumberFormat="0" applyAlignment="0">
      <alignment horizontal="center" vertical="center"/>
    </xf>
    <xf numFmtId="0" fontId="189" fillId="0" borderId="49">
      <alignment horizontal="center"/>
    </xf>
    <xf numFmtId="0" fontId="190" fillId="0" borderId="50" applyProtection="0"/>
    <xf numFmtId="0" fontId="69" fillId="0" borderId="0" applyProtection="0"/>
    <xf numFmtId="0" fontId="5" fillId="0" borderId="0" applyProtection="0"/>
    <xf numFmtId="0" fontId="68" fillId="0" borderId="0" applyProtection="0"/>
    <xf numFmtId="0" fontId="190" fillId="0" borderId="50" applyProtection="0"/>
    <xf numFmtId="0" fontId="69" fillId="0" borderId="0" applyProtection="0"/>
    <xf numFmtId="0" fontId="5" fillId="0" borderId="0" applyProtection="0"/>
    <xf numFmtId="0" fontId="68" fillId="0" borderId="0" applyProtection="0"/>
    <xf numFmtId="0" fontId="126" fillId="0" borderId="0">
      <alignment vertical="center" wrapText="1"/>
      <protection locked="0"/>
    </xf>
    <xf numFmtId="0" fontId="190" fillId="0" borderId="39"/>
    <xf numFmtId="0" fontId="69" fillId="0" borderId="0" applyNumberFormat="0" applyFill="0" applyBorder="0" applyAlignment="0" applyProtection="0"/>
    <xf numFmtId="0" fontId="68" fillId="0" borderId="0" applyNumberFormat="0" applyFill="0" applyBorder="0" applyAlignment="0" applyProtection="0"/>
    <xf numFmtId="0" fontId="75" fillId="0" borderId="51" applyNumberFormat="0" applyAlignment="0">
      <alignment horizontal="center"/>
    </xf>
    <xf numFmtId="304" fontId="164" fillId="0" borderId="0" applyFont="0" applyFill="0" applyBorder="0" applyAlignment="0" applyProtection="0"/>
    <xf numFmtId="0" fontId="56" fillId="0" borderId="52">
      <alignment horizontal="center"/>
    </xf>
    <xf numFmtId="0" fontId="56" fillId="0" borderId="52">
      <alignment horizontal="center"/>
    </xf>
    <xf numFmtId="0" fontId="62" fillId="0" borderId="0" applyProtection="0"/>
    <xf numFmtId="0" fontId="191" fillId="0" borderId="0"/>
    <xf numFmtId="0" fontId="62" fillId="0" borderId="0"/>
    <xf numFmtId="0" fontId="191" fillId="0" borderId="0"/>
    <xf numFmtId="3" fontId="192" fillId="0" borderId="0">
      <protection locked="0"/>
    </xf>
    <xf numFmtId="0" fontId="62" fillId="0" borderId="0" applyProtection="0"/>
    <xf numFmtId="0" fontId="191" fillId="0" borderId="0"/>
    <xf numFmtId="0" fontId="62" fillId="0" borderId="0"/>
    <xf numFmtId="0" fontId="191" fillId="0" borderId="0"/>
    <xf numFmtId="0" fontId="193" fillId="0" borderId="53" applyFill="0" applyBorder="0" applyAlignment="0">
      <alignment horizontal="center"/>
    </xf>
    <xf numFmtId="310" fontId="194" fillId="63" borderId="3">
      <alignment vertical="top"/>
    </xf>
    <xf numFmtId="304" fontId="50" fillId="0" borderId="4">
      <alignment horizontal="left" vertical="top"/>
    </xf>
    <xf numFmtId="304" fontId="50" fillId="0" borderId="4">
      <alignment horizontal="left" vertical="top"/>
    </xf>
    <xf numFmtId="304" fontId="50" fillId="0" borderId="4">
      <alignment horizontal="left" vertical="top"/>
    </xf>
    <xf numFmtId="304" fontId="50" fillId="0" borderId="4">
      <alignment horizontal="left" vertical="top"/>
    </xf>
    <xf numFmtId="304" fontId="50" fillId="0" borderId="4">
      <alignment horizontal="left" vertical="top"/>
    </xf>
    <xf numFmtId="304" fontId="50" fillId="0" borderId="4">
      <alignment horizontal="left" vertical="top"/>
    </xf>
    <xf numFmtId="310" fontId="195" fillId="0" borderId="4">
      <alignment horizontal="left" vertical="top"/>
    </xf>
    <xf numFmtId="304" fontId="50" fillId="0" borderId="4">
      <alignment horizontal="left" vertical="top"/>
    </xf>
    <xf numFmtId="304" fontId="50" fillId="0" borderId="4">
      <alignment horizontal="left" vertical="top"/>
    </xf>
    <xf numFmtId="304" fontId="50" fillId="0" borderId="4">
      <alignment horizontal="left" vertical="top"/>
    </xf>
    <xf numFmtId="304" fontId="50" fillId="0" borderId="4">
      <alignment horizontal="left" vertical="top"/>
    </xf>
    <xf numFmtId="304" fontId="50" fillId="0" borderId="4">
      <alignment horizontal="left" vertical="top"/>
    </xf>
    <xf numFmtId="304" fontId="50" fillId="0" borderId="4">
      <alignment horizontal="left" vertical="top"/>
    </xf>
    <xf numFmtId="304" fontId="50" fillId="0" borderId="4">
      <alignment horizontal="left" vertical="top"/>
    </xf>
    <xf numFmtId="304" fontId="50" fillId="0" borderId="4">
      <alignment horizontal="left" vertical="top"/>
    </xf>
    <xf numFmtId="333" fontId="196" fillId="65" borderId="3"/>
    <xf numFmtId="310" fontId="197" fillId="0" borderId="3">
      <alignment horizontal="left" vertical="top"/>
    </xf>
    <xf numFmtId="0" fontId="5" fillId="0" borderId="0" applyFont="0" applyFill="0" applyBorder="0" applyAlignment="0" applyProtection="0"/>
    <xf numFmtId="0" fontId="5" fillId="0" borderId="0" applyFont="0" applyFill="0" applyBorder="0" applyAlignment="0" applyProtection="0"/>
    <xf numFmtId="334" fontId="5" fillId="0" borderId="0" applyFont="0" applyFill="0" applyBorder="0" applyAlignment="0" applyProtection="0"/>
    <xf numFmtId="335" fontId="5" fillId="0" borderId="0" applyFont="0" applyFill="0" applyBorder="0" applyAlignment="0" applyProtection="0"/>
    <xf numFmtId="0" fontId="198" fillId="0" borderId="0" applyNumberFormat="0" applyFont="0" applyFill="0" applyBorder="0" applyProtection="0">
      <alignment horizontal="center" vertical="center" wrapText="1"/>
    </xf>
    <xf numFmtId="0" fontId="5" fillId="0" borderId="0" applyFont="0" applyFill="0" applyBorder="0" applyAlignment="0" applyProtection="0"/>
    <xf numFmtId="0" fontId="5" fillId="0" borderId="0" applyFont="0" applyFill="0" applyBorder="0" applyAlignment="0" applyProtection="0"/>
    <xf numFmtId="0" fontId="199" fillId="0" borderId="54" applyNumberFormat="0" applyFont="0" applyAlignment="0">
      <alignment horizontal="center"/>
    </xf>
    <xf numFmtId="0" fontId="138" fillId="0" borderId="55" applyFont="0" applyBorder="0" applyAlignment="0">
      <alignment horizontal="center"/>
    </xf>
    <xf numFmtId="0" fontId="138" fillId="0" borderId="55" applyFont="0" applyBorder="0" applyAlignment="0">
      <alignment horizontal="center"/>
    </xf>
    <xf numFmtId="178" fontId="13" fillId="0" borderId="0" applyFont="0" applyFill="0" applyBorder="0" applyAlignment="0" applyProtection="0"/>
    <xf numFmtId="42" fontId="200" fillId="0" borderId="0" applyFont="0" applyFill="0" applyBorder="0" applyAlignment="0" applyProtection="0"/>
    <xf numFmtId="44" fontId="200" fillId="0" borderId="0" applyFont="0" applyFill="0" applyBorder="0" applyAlignment="0" applyProtection="0"/>
    <xf numFmtId="0" fontId="200" fillId="0" borderId="0"/>
    <xf numFmtId="9" fontId="201" fillId="0" borderId="0" applyBorder="0" applyAlignment="0" applyProtection="0"/>
    <xf numFmtId="191" fontId="42" fillId="0" borderId="0" applyFont="0" applyFill="0" applyBorder="0" applyAlignment="0" applyProtection="0"/>
    <xf numFmtId="172" fontId="5" fillId="0" borderId="0" applyFont="0" applyFill="0" applyBorder="0" applyAlignment="0" applyProtection="0"/>
    <xf numFmtId="197" fontId="5" fillId="0" borderId="0" applyFont="0" applyFill="0" applyBorder="0" applyAlignment="0" applyProtection="0"/>
    <xf numFmtId="0" fontId="202" fillId="0" borderId="0"/>
    <xf numFmtId="0" fontId="203" fillId="0" borderId="0"/>
    <xf numFmtId="0" fontId="5" fillId="0" borderId="0" applyNumberFormat="0" applyFill="0" applyBorder="0" applyAlignment="0" applyProtection="0"/>
    <xf numFmtId="0" fontId="5" fillId="0" borderId="0"/>
    <xf numFmtId="0" fontId="3" fillId="0" borderId="0"/>
    <xf numFmtId="0" fontId="5" fillId="0" borderId="0" applyNumberFormat="0" applyFill="0" applyBorder="0" applyAlignment="0" applyProtection="0"/>
    <xf numFmtId="0" fontId="2" fillId="0" borderId="0"/>
    <xf numFmtId="336" fontId="212" fillId="0" borderId="57">
      <alignment horizontal="center"/>
      <protection hidden="1"/>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337" fontId="40" fillId="0" borderId="0" applyFill="0" applyBorder="0" applyAlignment="0">
      <protection locked="0"/>
    </xf>
    <xf numFmtId="0" fontId="5" fillId="0" borderId="0" applyNumberFormat="0" applyFill="0" applyBorder="0" applyAlignment="0">
      <protection locked="0"/>
    </xf>
    <xf numFmtId="338" fontId="40" fillId="0" borderId="0" applyFill="0" applyBorder="0" applyAlignment="0">
      <protection locked="0"/>
    </xf>
    <xf numFmtId="338" fontId="40" fillId="0" borderId="0" applyFill="0" applyBorder="0" applyAlignment="0">
      <protection locked="0"/>
    </xf>
    <xf numFmtId="339" fontId="40" fillId="0" borderId="0" applyFill="0" applyBorder="0" applyAlignment="0">
      <protection locked="0"/>
    </xf>
    <xf numFmtId="340" fontId="213" fillId="0" borderId="0" applyFill="0" applyBorder="0">
      <alignment vertical="center"/>
      <protection locked="0"/>
    </xf>
    <xf numFmtId="341" fontId="214" fillId="0" borderId="0" applyFill="0" applyBorder="0">
      <alignment vertical="center"/>
      <protection locked="0"/>
    </xf>
    <xf numFmtId="0" fontId="5" fillId="0" borderId="0" applyNumberFormat="0" applyFill="0" applyBorder="0" applyAlignment="0">
      <protection locked="0"/>
    </xf>
    <xf numFmtId="0" fontId="5" fillId="0" borderId="0" applyNumberFormat="0" applyFill="0" applyBorder="0" applyAlignment="0">
      <protection locked="0"/>
    </xf>
    <xf numFmtId="170" fontId="40" fillId="0" borderId="0" applyFill="0" applyBorder="0" applyAlignment="0">
      <protection locked="0"/>
    </xf>
    <xf numFmtId="342" fontId="40" fillId="0" borderId="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343" fontId="40" fillId="0" borderId="0" applyFill="0" applyBorder="0" applyAlignment="0">
      <protection locked="0"/>
    </xf>
    <xf numFmtId="343" fontId="40" fillId="0" borderId="0" applyFill="0" applyBorder="0" applyAlignment="0">
      <protection locked="0"/>
    </xf>
    <xf numFmtId="343" fontId="40" fillId="0" borderId="0" applyFill="0" applyBorder="0" applyAlignment="0">
      <protection locked="0"/>
    </xf>
    <xf numFmtId="0" fontId="5" fillId="0" borderId="0"/>
    <xf numFmtId="344" fontId="40" fillId="0" borderId="0" applyFill="0" applyBorder="0" applyAlignment="0">
      <protection locked="0"/>
    </xf>
    <xf numFmtId="345" fontId="40" fillId="0" borderId="0" applyFill="0" applyBorder="0" applyAlignment="0">
      <protection locked="0"/>
    </xf>
    <xf numFmtId="344" fontId="40" fillId="0" borderId="0" applyFill="0" applyBorder="0" applyAlignment="0">
      <protection locked="0"/>
    </xf>
    <xf numFmtId="344"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42" fontId="40" fillId="0" borderId="0" applyFill="0" applyBorder="0" applyAlignment="0">
      <protection locked="0"/>
    </xf>
    <xf numFmtId="342" fontId="40" fillId="0" borderId="0" applyFill="0" applyBorder="0" applyAlignment="0">
      <protection locked="0"/>
    </xf>
    <xf numFmtId="342" fontId="40" fillId="0" borderId="0" applyFill="0" applyBorder="0" applyAlignment="0">
      <protection locked="0"/>
    </xf>
    <xf numFmtId="342" fontId="40" fillId="0" borderId="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339"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7" fontId="40" fillId="0" borderId="0" applyFill="0" applyBorder="0" applyAlignment="0">
      <protection locked="0"/>
    </xf>
    <xf numFmtId="347" fontId="40" fillId="0" borderId="0" applyFill="0" applyBorder="0" applyAlignment="0">
      <protection locked="0"/>
    </xf>
    <xf numFmtId="347" fontId="40" fillId="0" borderId="0" applyFill="0" applyBorder="0" applyAlignment="0">
      <protection locked="0"/>
    </xf>
    <xf numFmtId="347"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7"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8"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50" fontId="40" fillId="0" borderId="0" applyFill="0" applyBorder="0" applyAlignment="0">
      <protection locked="0"/>
    </xf>
    <xf numFmtId="350" fontId="40" fillId="0" borderId="0" applyFill="0" applyBorder="0" applyAlignment="0">
      <protection locked="0"/>
    </xf>
    <xf numFmtId="350" fontId="40" fillId="0" borderId="0" applyFill="0" applyBorder="0" applyAlignment="0">
      <protection locked="0"/>
    </xf>
    <xf numFmtId="350" fontId="40" fillId="0" borderId="0" applyFill="0" applyBorder="0" applyAlignment="0">
      <protection locked="0"/>
    </xf>
    <xf numFmtId="350" fontId="40" fillId="0" borderId="0" applyFill="0" applyBorder="0" applyAlignment="0">
      <protection locked="0"/>
    </xf>
    <xf numFmtId="348" fontId="40" fillId="0" borderId="0" applyFill="0" applyBorder="0" applyAlignment="0">
      <protection locked="0"/>
    </xf>
    <xf numFmtId="348" fontId="40" fillId="0" borderId="0" applyFill="0" applyBorder="0" applyAlignment="0">
      <protection locked="0"/>
    </xf>
    <xf numFmtId="350" fontId="40" fillId="0" borderId="0" applyFill="0" applyBorder="0" applyAlignment="0">
      <protection locked="0"/>
    </xf>
    <xf numFmtId="350"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50" fontId="40" fillId="0" borderId="0" applyFill="0" applyBorder="0" applyAlignment="0">
      <protection locked="0"/>
    </xf>
    <xf numFmtId="350" fontId="40" fillId="0" borderId="0" applyFill="0" applyBorder="0" applyAlignment="0">
      <protection locked="0"/>
    </xf>
    <xf numFmtId="350" fontId="40" fillId="0" borderId="0" applyFill="0" applyBorder="0" applyAlignment="0">
      <protection locked="0"/>
    </xf>
    <xf numFmtId="350"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51" fontId="40" fillId="0" borderId="0" applyFill="0" applyBorder="0" applyAlignment="0">
      <protection locked="0"/>
    </xf>
    <xf numFmtId="351" fontId="40" fillId="0" borderId="0" applyFill="0" applyBorder="0" applyAlignment="0">
      <protection locked="0"/>
    </xf>
    <xf numFmtId="351" fontId="40" fillId="0" borderId="0" applyFill="0" applyBorder="0" applyAlignment="0">
      <protection locked="0"/>
    </xf>
    <xf numFmtId="351"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51"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51" fontId="40" fillId="0" borderId="0" applyFill="0" applyBorder="0" applyAlignment="0">
      <protection locked="0"/>
    </xf>
    <xf numFmtId="351" fontId="40" fillId="0" borderId="0" applyFill="0" applyBorder="0" applyAlignment="0">
      <protection locked="0"/>
    </xf>
    <xf numFmtId="346" fontId="40" fillId="0" borderId="0" applyFill="0" applyBorder="0" applyAlignment="0">
      <protection locked="0"/>
    </xf>
    <xf numFmtId="351" fontId="40" fillId="0" borderId="0" applyFill="0" applyBorder="0" applyAlignment="0">
      <protection locked="0"/>
    </xf>
    <xf numFmtId="351"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7" fontId="40" fillId="0" borderId="0" applyFill="0" applyBorder="0" applyAlignment="0">
      <protection locked="0"/>
    </xf>
    <xf numFmtId="347" fontId="40" fillId="0" borderId="0" applyFill="0" applyBorder="0" applyAlignment="0">
      <protection locked="0"/>
    </xf>
    <xf numFmtId="346" fontId="40" fillId="0" borderId="0" applyFill="0" applyBorder="0" applyAlignment="0">
      <protection locked="0"/>
    </xf>
    <xf numFmtId="347" fontId="40" fillId="0" borderId="0" applyFill="0" applyBorder="0" applyAlignment="0">
      <protection locked="0"/>
    </xf>
    <xf numFmtId="347" fontId="40" fillId="0" borderId="0" applyFill="0" applyBorder="0" applyAlignment="0">
      <protection locked="0"/>
    </xf>
    <xf numFmtId="352" fontId="40" fillId="0" borderId="0" applyFill="0" applyBorder="0" applyAlignment="0">
      <protection locked="0"/>
    </xf>
    <xf numFmtId="344" fontId="40" fillId="0" borderId="0" applyFill="0" applyBorder="0" applyAlignment="0">
      <protection locked="0"/>
    </xf>
    <xf numFmtId="344" fontId="40" fillId="0" borderId="0" applyFill="0" applyBorder="0" applyAlignment="0">
      <protection locked="0"/>
    </xf>
    <xf numFmtId="345" fontId="40" fillId="0" borderId="0" applyFill="0" applyBorder="0" applyAlignment="0">
      <protection locked="0"/>
    </xf>
    <xf numFmtId="344" fontId="40" fillId="0" borderId="0" applyFill="0" applyBorder="0" applyAlignment="0">
      <protection locked="0"/>
    </xf>
    <xf numFmtId="344"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42" fontId="40" fillId="0" borderId="0" applyFill="0" applyBorder="0" applyAlignment="0">
      <protection locked="0"/>
    </xf>
    <xf numFmtId="342" fontId="40" fillId="0" borderId="0" applyFill="0" applyBorder="0" applyAlignment="0">
      <protection locked="0"/>
    </xf>
    <xf numFmtId="342" fontId="40" fillId="0" borderId="0" applyFill="0" applyBorder="0" applyAlignment="0">
      <protection locked="0"/>
    </xf>
    <xf numFmtId="342"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53" fontId="40" fillId="0" borderId="0" applyFill="0" applyBorder="0" applyAlignment="0">
      <protection locked="0"/>
    </xf>
    <xf numFmtId="354" fontId="40" fillId="0" borderId="0" applyFill="0" applyBorder="0" applyAlignment="0">
      <protection locked="0"/>
    </xf>
    <xf numFmtId="353" fontId="40" fillId="0" borderId="0" applyFill="0" applyBorder="0" applyAlignment="0">
      <protection locked="0"/>
    </xf>
    <xf numFmtId="342"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45" fontId="40" fillId="0" borderId="0" applyFill="0" applyBorder="0" applyAlignment="0">
      <protection locked="0"/>
    </xf>
    <xf numFmtId="345"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42" fontId="40" fillId="0" borderId="0" applyFill="0" applyBorder="0" applyAlignment="0">
      <protection locked="0"/>
    </xf>
    <xf numFmtId="342" fontId="40" fillId="0" borderId="0" applyFill="0" applyBorder="0" applyAlignment="0">
      <protection locked="0"/>
    </xf>
    <xf numFmtId="339" fontId="40" fillId="0" borderId="0" applyFill="0" applyBorder="0" applyAlignment="0">
      <protection locked="0"/>
    </xf>
    <xf numFmtId="342" fontId="40" fillId="0" borderId="0" applyFill="0" applyBorder="0" applyAlignment="0">
      <protection locked="0"/>
    </xf>
    <xf numFmtId="342" fontId="40" fillId="0" borderId="0" applyFill="0" applyBorder="0" applyAlignment="0">
      <protection locked="0"/>
    </xf>
    <xf numFmtId="348"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50" fontId="40" fillId="0" borderId="0" applyFill="0" applyBorder="0" applyAlignment="0">
      <protection locked="0"/>
    </xf>
    <xf numFmtId="350" fontId="40" fillId="0" borderId="0" applyFill="0" applyBorder="0" applyAlignment="0">
      <protection locked="0"/>
    </xf>
    <xf numFmtId="350" fontId="40" fillId="0" borderId="0" applyFill="0" applyBorder="0" applyAlignment="0">
      <protection locked="0"/>
    </xf>
    <xf numFmtId="350" fontId="40" fillId="0" borderId="0" applyFill="0" applyBorder="0" applyAlignment="0">
      <protection locked="0"/>
    </xf>
    <xf numFmtId="350" fontId="40" fillId="0" borderId="0" applyFill="0" applyBorder="0" applyAlignment="0">
      <protection locked="0"/>
    </xf>
    <xf numFmtId="348" fontId="40" fillId="0" borderId="0" applyFill="0" applyBorder="0" applyAlignment="0">
      <protection locked="0"/>
    </xf>
    <xf numFmtId="348" fontId="40" fillId="0" borderId="0" applyFill="0" applyBorder="0" applyAlignment="0">
      <protection locked="0"/>
    </xf>
    <xf numFmtId="350" fontId="40" fillId="0" borderId="0" applyFill="0" applyBorder="0" applyAlignment="0">
      <protection locked="0"/>
    </xf>
    <xf numFmtId="350"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50" fontId="40" fillId="0" borderId="0" applyFill="0" applyBorder="0" applyAlignment="0">
      <protection locked="0"/>
    </xf>
    <xf numFmtId="350" fontId="40" fillId="0" borderId="0" applyFill="0" applyBorder="0" applyAlignment="0">
      <protection locked="0"/>
    </xf>
    <xf numFmtId="350" fontId="40" fillId="0" borderId="0" applyFill="0" applyBorder="0" applyAlignment="0">
      <protection locked="0"/>
    </xf>
    <xf numFmtId="350"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51" fontId="40" fillId="0" borderId="0" applyFill="0" applyBorder="0" applyAlignment="0">
      <protection locked="0"/>
    </xf>
    <xf numFmtId="351" fontId="40" fillId="0" borderId="0" applyFill="0" applyBorder="0" applyAlignment="0">
      <protection locked="0"/>
    </xf>
    <xf numFmtId="351" fontId="40" fillId="0" borderId="0" applyFill="0" applyBorder="0" applyAlignment="0">
      <protection locked="0"/>
    </xf>
    <xf numFmtId="351"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51"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7" fontId="40" fillId="0" borderId="0" applyFill="0" applyBorder="0" applyAlignment="0">
      <protection locked="0"/>
    </xf>
    <xf numFmtId="347" fontId="40" fillId="0" borderId="0" applyFill="0" applyBorder="0" applyAlignment="0">
      <protection locked="0"/>
    </xf>
    <xf numFmtId="347" fontId="40" fillId="0" borderId="0" applyFill="0" applyBorder="0" applyAlignment="0">
      <protection locked="0"/>
    </xf>
    <xf numFmtId="347"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7"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7" fontId="40" fillId="0" borderId="0" applyFill="0" applyBorder="0" applyAlignment="0">
      <protection locked="0"/>
    </xf>
    <xf numFmtId="347" fontId="40" fillId="0" borderId="0" applyFill="0" applyBorder="0" applyAlignment="0">
      <protection locked="0"/>
    </xf>
    <xf numFmtId="346" fontId="40" fillId="0" borderId="0" applyFill="0" applyBorder="0" applyAlignment="0">
      <protection locked="0"/>
    </xf>
    <xf numFmtId="347" fontId="40" fillId="0" borderId="0" applyFill="0" applyBorder="0" applyAlignment="0">
      <protection locked="0"/>
    </xf>
    <xf numFmtId="347"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51" fontId="40" fillId="0" borderId="0" applyFill="0" applyBorder="0" applyAlignment="0">
      <protection locked="0"/>
    </xf>
    <xf numFmtId="351" fontId="40" fillId="0" borderId="0" applyFill="0" applyBorder="0" applyAlignment="0">
      <protection locked="0"/>
    </xf>
    <xf numFmtId="346" fontId="40" fillId="0" borderId="0" applyFill="0" applyBorder="0" applyAlignment="0">
      <protection locked="0"/>
    </xf>
    <xf numFmtId="351" fontId="40" fillId="0" borderId="0" applyFill="0" applyBorder="0" applyAlignment="0">
      <protection locked="0"/>
    </xf>
    <xf numFmtId="351" fontId="40" fillId="0" borderId="0" applyFill="0" applyBorder="0" applyAlignment="0">
      <protection locked="0"/>
    </xf>
    <xf numFmtId="355" fontId="40" fillId="0" borderId="0" applyFill="0" applyBorder="0" applyAlignment="0">
      <protection locked="0"/>
    </xf>
    <xf numFmtId="356" fontId="40" fillId="0" borderId="0" applyFill="0" applyBorder="0" applyAlignment="0">
      <protection locked="0"/>
    </xf>
    <xf numFmtId="356" fontId="40" fillId="0" borderId="0" applyFill="0" applyBorder="0" applyAlignment="0">
      <protection locked="0"/>
    </xf>
    <xf numFmtId="356" fontId="40" fillId="0" borderId="0" applyFill="0" applyBorder="0" applyAlignment="0">
      <protection locked="0"/>
    </xf>
    <xf numFmtId="356" fontId="40" fillId="0" borderId="0" applyFill="0" applyBorder="0" applyAlignment="0">
      <protection locked="0"/>
    </xf>
    <xf numFmtId="356" fontId="40" fillId="0" borderId="0" applyFill="0" applyBorder="0" applyAlignment="0">
      <protection locked="0"/>
    </xf>
    <xf numFmtId="356" fontId="40" fillId="0" borderId="0" applyFill="0" applyBorder="0" applyAlignment="0">
      <protection locked="0"/>
    </xf>
    <xf numFmtId="356" fontId="40" fillId="0" borderId="0" applyFill="0" applyBorder="0" applyAlignment="0">
      <protection locked="0"/>
    </xf>
    <xf numFmtId="356" fontId="40" fillId="0" borderId="0" applyFill="0" applyBorder="0" applyAlignment="0">
      <protection locked="0"/>
    </xf>
    <xf numFmtId="343" fontId="40" fillId="0" borderId="0" applyFill="0" applyBorder="0" applyAlignment="0">
      <protection locked="0"/>
    </xf>
    <xf numFmtId="343" fontId="40" fillId="0" borderId="0" applyFill="0" applyBorder="0" applyAlignment="0">
      <protection locked="0"/>
    </xf>
    <xf numFmtId="343" fontId="40" fillId="0" borderId="0" applyFill="0" applyBorder="0" applyAlignment="0">
      <protection locked="0"/>
    </xf>
    <xf numFmtId="343" fontId="40" fillId="0" borderId="0" applyFill="0" applyBorder="0" applyAlignment="0">
      <protection locked="0"/>
    </xf>
    <xf numFmtId="343" fontId="40" fillId="0" borderId="0" applyFill="0" applyBorder="0" applyAlignment="0">
      <protection locked="0"/>
    </xf>
    <xf numFmtId="355" fontId="40" fillId="0" borderId="0" applyFill="0" applyBorder="0" applyAlignment="0">
      <protection locked="0"/>
    </xf>
    <xf numFmtId="355" fontId="40" fillId="0" borderId="0" applyFill="0" applyBorder="0" applyAlignment="0">
      <protection locked="0"/>
    </xf>
    <xf numFmtId="343" fontId="40" fillId="0" borderId="0" applyFill="0" applyBorder="0" applyAlignment="0">
      <protection locked="0"/>
    </xf>
    <xf numFmtId="343" fontId="40" fillId="0" borderId="0" applyFill="0" applyBorder="0" applyAlignment="0">
      <protection locked="0"/>
    </xf>
    <xf numFmtId="356" fontId="40" fillId="0" borderId="0" applyFill="0" applyBorder="0" applyAlignment="0">
      <protection locked="0"/>
    </xf>
    <xf numFmtId="356" fontId="40" fillId="0" borderId="0" applyFill="0" applyBorder="0" applyAlignment="0">
      <protection locked="0"/>
    </xf>
    <xf numFmtId="343" fontId="40" fillId="0" borderId="0" applyFill="0" applyBorder="0" applyAlignment="0">
      <protection locked="0"/>
    </xf>
    <xf numFmtId="343" fontId="40" fillId="0" borderId="0" applyFill="0" applyBorder="0" applyAlignment="0">
      <protection locked="0"/>
    </xf>
    <xf numFmtId="343" fontId="40" fillId="0" borderId="0" applyFill="0" applyBorder="0" applyAlignment="0">
      <protection locked="0"/>
    </xf>
    <xf numFmtId="343"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38" fontId="40" fillId="0" borderId="0" applyFill="0" applyBorder="0" applyAlignment="0">
      <protection locked="0"/>
    </xf>
    <xf numFmtId="338" fontId="40" fillId="0" borderId="0" applyFill="0" applyBorder="0" applyAlignment="0">
      <protection locked="0"/>
    </xf>
    <xf numFmtId="338" fontId="40" fillId="0" borderId="0" applyFill="0" applyBorder="0" applyAlignment="0">
      <protection locked="0"/>
    </xf>
    <xf numFmtId="338"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38"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6" fontId="40" fillId="0" borderId="0" applyFill="0" applyBorder="0" applyAlignment="0">
      <protection locked="0"/>
    </xf>
    <xf numFmtId="356"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38" fontId="40" fillId="0" borderId="0" applyFill="0" applyBorder="0" applyAlignment="0">
      <protection locked="0"/>
    </xf>
    <xf numFmtId="338" fontId="40" fillId="0" borderId="0" applyFill="0" applyBorder="0" applyAlignment="0">
      <protection locked="0"/>
    </xf>
    <xf numFmtId="352" fontId="40" fillId="0" borderId="0" applyFill="0" applyBorder="0" applyAlignment="0">
      <protection locked="0"/>
    </xf>
    <xf numFmtId="338" fontId="40" fillId="0" borderId="0" applyFill="0" applyBorder="0" applyAlignment="0">
      <protection locked="0"/>
    </xf>
    <xf numFmtId="338" fontId="40" fillId="0" borderId="0" applyFill="0" applyBorder="0" applyAlignment="0">
      <protection locked="0"/>
    </xf>
    <xf numFmtId="344" fontId="40" fillId="0" borderId="0" applyFill="0" applyBorder="0" applyAlignment="0">
      <protection locked="0"/>
    </xf>
    <xf numFmtId="344" fontId="40" fillId="0" borderId="0" applyFill="0" applyBorder="0" applyAlignment="0">
      <protection locked="0"/>
    </xf>
    <xf numFmtId="345" fontId="40" fillId="0" borderId="0" applyFill="0" applyBorder="0" applyAlignment="0">
      <protection locked="0"/>
    </xf>
    <xf numFmtId="344" fontId="40" fillId="0" borderId="0" applyFill="0" applyBorder="0" applyAlignment="0">
      <protection locked="0"/>
    </xf>
    <xf numFmtId="344"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42" fontId="40" fillId="0" borderId="0" applyFill="0" applyBorder="0" applyAlignment="0">
      <protection locked="0"/>
    </xf>
    <xf numFmtId="342" fontId="40" fillId="0" borderId="0" applyFill="0" applyBorder="0" applyAlignment="0">
      <protection locked="0"/>
    </xf>
    <xf numFmtId="342" fontId="40" fillId="0" borderId="0" applyFill="0" applyBorder="0" applyAlignment="0">
      <protection locked="0"/>
    </xf>
    <xf numFmtId="342"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53" fontId="40" fillId="0" borderId="0" applyFill="0" applyBorder="0" applyAlignment="0">
      <protection locked="0"/>
    </xf>
    <xf numFmtId="354" fontId="40" fillId="0" borderId="0" applyFill="0" applyBorder="0" applyAlignment="0">
      <protection locked="0"/>
    </xf>
    <xf numFmtId="353" fontId="40" fillId="0" borderId="0" applyFill="0" applyBorder="0" applyAlignment="0">
      <protection locked="0"/>
    </xf>
    <xf numFmtId="342"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52" fontId="40" fillId="0" borderId="0" applyFill="0" applyBorder="0" applyAlignment="0">
      <protection locked="0"/>
    </xf>
    <xf numFmtId="345" fontId="40" fillId="0" borderId="0" applyFill="0" applyBorder="0" applyAlignment="0">
      <protection locked="0"/>
    </xf>
    <xf numFmtId="345"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342" fontId="40" fillId="0" borderId="0" applyFill="0" applyBorder="0" applyAlignment="0">
      <protection locked="0"/>
    </xf>
    <xf numFmtId="342" fontId="40" fillId="0" borderId="0" applyFill="0" applyBorder="0" applyAlignment="0">
      <protection locked="0"/>
    </xf>
    <xf numFmtId="339" fontId="40" fillId="0" borderId="0" applyFill="0" applyBorder="0" applyAlignment="0">
      <protection locked="0"/>
    </xf>
    <xf numFmtId="342" fontId="40" fillId="0" borderId="0" applyFill="0" applyBorder="0" applyAlignment="0">
      <protection locked="0"/>
    </xf>
    <xf numFmtId="342" fontId="40" fillId="0" borderId="0" applyFill="0" applyBorder="0" applyAlignment="0">
      <protection locked="0"/>
    </xf>
    <xf numFmtId="355" fontId="40" fillId="0" borderId="0" applyFill="0" applyBorder="0" applyAlignment="0">
      <protection locked="0"/>
    </xf>
    <xf numFmtId="356" fontId="40" fillId="0" borderId="0" applyFill="0" applyBorder="0" applyAlignment="0">
      <protection locked="0"/>
    </xf>
    <xf numFmtId="356" fontId="40" fillId="0" borderId="0" applyFill="0" applyBorder="0" applyAlignment="0">
      <protection locked="0"/>
    </xf>
    <xf numFmtId="356" fontId="40" fillId="0" borderId="0" applyFill="0" applyBorder="0" applyAlignment="0">
      <protection locked="0"/>
    </xf>
    <xf numFmtId="356" fontId="40" fillId="0" borderId="0" applyFill="0" applyBorder="0" applyAlignment="0">
      <protection locked="0"/>
    </xf>
    <xf numFmtId="356" fontId="40" fillId="0" borderId="0" applyFill="0" applyBorder="0" applyAlignment="0">
      <protection locked="0"/>
    </xf>
    <xf numFmtId="356" fontId="40" fillId="0" borderId="0" applyFill="0" applyBorder="0" applyAlignment="0">
      <protection locked="0"/>
    </xf>
    <xf numFmtId="356" fontId="40" fillId="0" borderId="0" applyFill="0" applyBorder="0" applyAlignment="0">
      <protection locked="0"/>
    </xf>
    <xf numFmtId="356" fontId="40" fillId="0" borderId="0" applyFill="0" applyBorder="0" applyAlignment="0">
      <protection locked="0"/>
    </xf>
    <xf numFmtId="343" fontId="40" fillId="0" borderId="0" applyFill="0" applyBorder="0" applyAlignment="0">
      <protection locked="0"/>
    </xf>
    <xf numFmtId="343" fontId="40" fillId="0" borderId="0" applyFill="0" applyBorder="0" applyAlignment="0">
      <protection locked="0"/>
    </xf>
    <xf numFmtId="343" fontId="40" fillId="0" borderId="0" applyFill="0" applyBorder="0" applyAlignment="0">
      <protection locked="0"/>
    </xf>
    <xf numFmtId="343" fontId="40" fillId="0" borderId="0" applyFill="0" applyBorder="0" applyAlignment="0">
      <protection locked="0"/>
    </xf>
    <xf numFmtId="343" fontId="40" fillId="0" borderId="0" applyFill="0" applyBorder="0" applyAlignment="0">
      <protection locked="0"/>
    </xf>
    <xf numFmtId="355" fontId="40" fillId="0" borderId="0" applyFill="0" applyBorder="0" applyAlignment="0">
      <protection locked="0"/>
    </xf>
    <xf numFmtId="355" fontId="40" fillId="0" borderId="0" applyFill="0" applyBorder="0" applyAlignment="0">
      <protection locked="0"/>
    </xf>
    <xf numFmtId="343" fontId="40" fillId="0" borderId="0" applyFill="0" applyBorder="0" applyAlignment="0">
      <protection locked="0"/>
    </xf>
    <xf numFmtId="343" fontId="40" fillId="0" borderId="0" applyFill="0" applyBorder="0" applyAlignment="0">
      <protection locked="0"/>
    </xf>
    <xf numFmtId="356" fontId="40" fillId="0" borderId="0" applyFill="0" applyBorder="0" applyAlignment="0">
      <protection locked="0"/>
    </xf>
    <xf numFmtId="356" fontId="40" fillId="0" borderId="0" applyFill="0" applyBorder="0" applyAlignment="0">
      <protection locked="0"/>
    </xf>
    <xf numFmtId="343" fontId="40" fillId="0" borderId="0" applyFill="0" applyBorder="0" applyAlignment="0">
      <protection locked="0"/>
    </xf>
    <xf numFmtId="343" fontId="40" fillId="0" borderId="0" applyFill="0" applyBorder="0" applyAlignment="0">
      <protection locked="0"/>
    </xf>
    <xf numFmtId="343" fontId="40" fillId="0" borderId="0" applyFill="0" applyBorder="0" applyAlignment="0">
      <protection locked="0"/>
    </xf>
    <xf numFmtId="343"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38" fontId="40" fillId="0" borderId="0" applyFill="0" applyBorder="0" applyAlignment="0">
      <protection locked="0"/>
    </xf>
    <xf numFmtId="338" fontId="40" fillId="0" borderId="0" applyFill="0" applyBorder="0" applyAlignment="0">
      <protection locked="0"/>
    </xf>
    <xf numFmtId="338" fontId="40" fillId="0" borderId="0" applyFill="0" applyBorder="0" applyAlignment="0">
      <protection locked="0"/>
    </xf>
    <xf numFmtId="338"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38"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6" fontId="40" fillId="0" borderId="0" applyFill="0" applyBorder="0" applyAlignment="0">
      <protection locked="0"/>
    </xf>
    <xf numFmtId="356"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38" fontId="40" fillId="0" borderId="0" applyFill="0" applyBorder="0" applyAlignment="0">
      <protection locked="0"/>
    </xf>
    <xf numFmtId="338" fontId="40" fillId="0" borderId="0" applyFill="0" applyBorder="0" applyAlignment="0">
      <protection locked="0"/>
    </xf>
    <xf numFmtId="352" fontId="40" fillId="0" borderId="0" applyFill="0" applyBorder="0" applyAlignment="0">
      <protection locked="0"/>
    </xf>
    <xf numFmtId="338" fontId="40" fillId="0" borderId="0" applyFill="0" applyBorder="0" applyAlignment="0">
      <protection locked="0"/>
    </xf>
    <xf numFmtId="338" fontId="40" fillId="0" borderId="0" applyFill="0" applyBorder="0" applyAlignment="0">
      <protection locked="0"/>
    </xf>
    <xf numFmtId="348"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50" fontId="40" fillId="0" borderId="0" applyFill="0" applyBorder="0" applyAlignment="0">
      <protection locked="0"/>
    </xf>
    <xf numFmtId="350" fontId="40" fillId="0" borderId="0" applyFill="0" applyBorder="0" applyAlignment="0">
      <protection locked="0"/>
    </xf>
    <xf numFmtId="350" fontId="40" fillId="0" borderId="0" applyFill="0" applyBorder="0" applyAlignment="0">
      <protection locked="0"/>
    </xf>
    <xf numFmtId="350" fontId="40" fillId="0" borderId="0" applyFill="0" applyBorder="0" applyAlignment="0">
      <protection locked="0"/>
    </xf>
    <xf numFmtId="350" fontId="40" fillId="0" borderId="0" applyFill="0" applyBorder="0" applyAlignment="0">
      <protection locked="0"/>
    </xf>
    <xf numFmtId="348" fontId="40" fillId="0" borderId="0" applyFill="0" applyBorder="0" applyAlignment="0">
      <protection locked="0"/>
    </xf>
    <xf numFmtId="348" fontId="40" fillId="0" borderId="0" applyFill="0" applyBorder="0" applyAlignment="0">
      <protection locked="0"/>
    </xf>
    <xf numFmtId="350" fontId="40" fillId="0" borderId="0" applyFill="0" applyBorder="0" applyAlignment="0">
      <protection locked="0"/>
    </xf>
    <xf numFmtId="350"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50" fontId="40" fillId="0" borderId="0" applyFill="0" applyBorder="0" applyAlignment="0">
      <protection locked="0"/>
    </xf>
    <xf numFmtId="350" fontId="40" fillId="0" borderId="0" applyFill="0" applyBorder="0" applyAlignment="0">
      <protection locked="0"/>
    </xf>
    <xf numFmtId="350" fontId="40" fillId="0" borderId="0" applyFill="0" applyBorder="0" applyAlignment="0">
      <protection locked="0"/>
    </xf>
    <xf numFmtId="350"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51" fontId="40" fillId="0" borderId="0" applyFill="0" applyBorder="0" applyAlignment="0">
      <protection locked="0"/>
    </xf>
    <xf numFmtId="351" fontId="40" fillId="0" borderId="0" applyFill="0" applyBorder="0" applyAlignment="0">
      <protection locked="0"/>
    </xf>
    <xf numFmtId="351" fontId="40" fillId="0" borderId="0" applyFill="0" applyBorder="0" applyAlignment="0">
      <protection locked="0"/>
    </xf>
    <xf numFmtId="351"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51"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51" fontId="40" fillId="0" borderId="0" applyFill="0" applyBorder="0" applyAlignment="0">
      <protection locked="0"/>
    </xf>
    <xf numFmtId="351" fontId="40" fillId="0" borderId="0" applyFill="0" applyBorder="0" applyAlignment="0">
      <protection locked="0"/>
    </xf>
    <xf numFmtId="346" fontId="40" fillId="0" borderId="0" applyFill="0" applyBorder="0" applyAlignment="0">
      <protection locked="0"/>
    </xf>
    <xf numFmtId="351" fontId="40" fillId="0" borderId="0" applyFill="0" applyBorder="0" applyAlignment="0">
      <protection locked="0"/>
    </xf>
    <xf numFmtId="351" fontId="40" fillId="0" borderId="0" applyFill="0" applyBorder="0" applyAlignment="0">
      <protection locked="0"/>
    </xf>
    <xf numFmtId="352" fontId="40" fillId="0" borderId="0" applyFill="0" applyBorder="0" applyAlignment="0">
      <protection locked="0"/>
    </xf>
    <xf numFmtId="339"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7" fontId="40" fillId="0" borderId="0" applyFill="0" applyBorder="0" applyAlignment="0">
      <protection locked="0"/>
    </xf>
    <xf numFmtId="347" fontId="40" fillId="0" borderId="0" applyFill="0" applyBorder="0" applyAlignment="0">
      <protection locked="0"/>
    </xf>
    <xf numFmtId="347" fontId="40" fillId="0" borderId="0" applyFill="0" applyBorder="0" applyAlignment="0">
      <protection locked="0"/>
    </xf>
    <xf numFmtId="347"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7"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7" fontId="40" fillId="0" borderId="0" applyFill="0" applyBorder="0" applyAlignment="0">
      <protection locked="0"/>
    </xf>
    <xf numFmtId="347" fontId="40" fillId="0" borderId="0" applyFill="0" applyBorder="0" applyAlignment="0">
      <protection locked="0"/>
    </xf>
    <xf numFmtId="346" fontId="40" fillId="0" borderId="0" applyFill="0" applyBorder="0" applyAlignment="0">
      <protection locked="0"/>
    </xf>
    <xf numFmtId="347" fontId="40" fillId="0" borderId="0" applyFill="0" applyBorder="0" applyAlignment="0">
      <protection locked="0"/>
    </xf>
    <xf numFmtId="347" fontId="40" fillId="0" borderId="0" applyFill="0" applyBorder="0" applyAlignment="0">
      <protection locked="0"/>
    </xf>
    <xf numFmtId="353" fontId="40" fillId="0" borderId="0" applyFill="0" applyBorder="0" applyAlignment="0">
      <protection locked="0"/>
    </xf>
    <xf numFmtId="354" fontId="40" fillId="0" borderId="0" applyFill="0" applyBorder="0" applyAlignment="0">
      <protection locked="0"/>
    </xf>
    <xf numFmtId="353" fontId="40" fillId="0" borderId="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339" fontId="40" fillId="0" borderId="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355" fontId="40" fillId="0" borderId="0" applyFill="0" applyBorder="0" applyAlignment="0">
      <protection locked="0"/>
    </xf>
    <xf numFmtId="356" fontId="40" fillId="0" borderId="0" applyFill="0" applyBorder="0" applyAlignment="0">
      <protection locked="0"/>
    </xf>
    <xf numFmtId="356" fontId="40" fillId="0" borderId="0" applyFill="0" applyBorder="0" applyAlignment="0">
      <protection locked="0"/>
    </xf>
    <xf numFmtId="356" fontId="40" fillId="0" borderId="0" applyFill="0" applyBorder="0" applyAlignment="0">
      <protection locked="0"/>
    </xf>
    <xf numFmtId="356" fontId="40" fillId="0" borderId="0" applyFill="0" applyBorder="0" applyAlignment="0">
      <protection locked="0"/>
    </xf>
    <xf numFmtId="356" fontId="40" fillId="0" borderId="0" applyFill="0" applyBorder="0" applyAlignment="0">
      <protection locked="0"/>
    </xf>
    <xf numFmtId="356" fontId="40" fillId="0" borderId="0" applyFill="0" applyBorder="0" applyAlignment="0">
      <protection locked="0"/>
    </xf>
    <xf numFmtId="356" fontId="40" fillId="0" borderId="0" applyFill="0" applyBorder="0" applyAlignment="0">
      <protection locked="0"/>
    </xf>
    <xf numFmtId="356" fontId="40" fillId="0" borderId="0" applyFill="0" applyBorder="0" applyAlignment="0">
      <protection locked="0"/>
    </xf>
    <xf numFmtId="343" fontId="40" fillId="0" borderId="0" applyFill="0" applyBorder="0" applyAlignment="0">
      <protection locked="0"/>
    </xf>
    <xf numFmtId="343" fontId="40" fillId="0" borderId="0" applyFill="0" applyBorder="0" applyAlignment="0">
      <protection locked="0"/>
    </xf>
    <xf numFmtId="343" fontId="40" fillId="0" borderId="0" applyFill="0" applyBorder="0" applyAlignment="0">
      <protection locked="0"/>
    </xf>
    <xf numFmtId="343" fontId="40" fillId="0" borderId="0" applyFill="0" applyBorder="0" applyAlignment="0">
      <protection locked="0"/>
    </xf>
    <xf numFmtId="343" fontId="40" fillId="0" borderId="0" applyFill="0" applyBorder="0" applyAlignment="0">
      <protection locked="0"/>
    </xf>
    <xf numFmtId="355" fontId="40" fillId="0" borderId="0" applyFill="0" applyBorder="0" applyAlignment="0">
      <protection locked="0"/>
    </xf>
    <xf numFmtId="355" fontId="40" fillId="0" borderId="0" applyFill="0" applyBorder="0" applyAlignment="0">
      <protection locked="0"/>
    </xf>
    <xf numFmtId="343" fontId="40" fillId="0" borderId="0" applyFill="0" applyBorder="0" applyAlignment="0">
      <protection locked="0"/>
    </xf>
    <xf numFmtId="343" fontId="40" fillId="0" borderId="0" applyFill="0" applyBorder="0" applyAlignment="0">
      <protection locked="0"/>
    </xf>
    <xf numFmtId="356" fontId="40" fillId="0" borderId="0" applyFill="0" applyBorder="0" applyAlignment="0">
      <protection locked="0"/>
    </xf>
    <xf numFmtId="356" fontId="40" fillId="0" borderId="0" applyFill="0" applyBorder="0" applyAlignment="0">
      <protection locked="0"/>
    </xf>
    <xf numFmtId="343" fontId="40" fillId="0" borderId="0" applyFill="0" applyBorder="0" applyAlignment="0">
      <protection locked="0"/>
    </xf>
    <xf numFmtId="343" fontId="40" fillId="0" borderId="0" applyFill="0" applyBorder="0" applyAlignment="0">
      <protection locked="0"/>
    </xf>
    <xf numFmtId="343" fontId="40" fillId="0" borderId="0" applyFill="0" applyBorder="0" applyAlignment="0">
      <protection locked="0"/>
    </xf>
    <xf numFmtId="343"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38" fontId="40" fillId="0" borderId="0" applyFill="0" applyBorder="0" applyAlignment="0">
      <protection locked="0"/>
    </xf>
    <xf numFmtId="338" fontId="40" fillId="0" borderId="0" applyFill="0" applyBorder="0" applyAlignment="0">
      <protection locked="0"/>
    </xf>
    <xf numFmtId="338" fontId="40" fillId="0" borderId="0" applyFill="0" applyBorder="0" applyAlignment="0">
      <protection locked="0"/>
    </xf>
    <xf numFmtId="338"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38"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6" fontId="40" fillId="0" borderId="0" applyFill="0" applyBorder="0" applyAlignment="0">
      <protection locked="0"/>
    </xf>
    <xf numFmtId="356"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52" fontId="40" fillId="0" borderId="0" applyFill="0" applyBorder="0" applyAlignment="0">
      <protection locked="0"/>
    </xf>
    <xf numFmtId="338" fontId="40" fillId="0" borderId="0" applyFill="0" applyBorder="0" applyAlignment="0">
      <protection locked="0"/>
    </xf>
    <xf numFmtId="338" fontId="40" fillId="0" borderId="0" applyFill="0" applyBorder="0" applyAlignment="0">
      <protection locked="0"/>
    </xf>
    <xf numFmtId="352" fontId="40" fillId="0" borderId="0" applyFill="0" applyBorder="0" applyAlignment="0">
      <protection locked="0"/>
    </xf>
    <xf numFmtId="338" fontId="40" fillId="0" borderId="0" applyFill="0" applyBorder="0" applyAlignment="0">
      <protection locked="0"/>
    </xf>
    <xf numFmtId="338" fontId="40" fillId="0" borderId="0" applyFill="0" applyBorder="0" applyAlignment="0">
      <protection locked="0"/>
    </xf>
    <xf numFmtId="348"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50" fontId="40" fillId="0" borderId="0" applyFill="0" applyBorder="0" applyAlignment="0">
      <protection locked="0"/>
    </xf>
    <xf numFmtId="350" fontId="40" fillId="0" borderId="0" applyFill="0" applyBorder="0" applyAlignment="0">
      <protection locked="0"/>
    </xf>
    <xf numFmtId="350" fontId="40" fillId="0" borderId="0" applyFill="0" applyBorder="0" applyAlignment="0">
      <protection locked="0"/>
    </xf>
    <xf numFmtId="350" fontId="40" fillId="0" borderId="0" applyFill="0" applyBorder="0" applyAlignment="0">
      <protection locked="0"/>
    </xf>
    <xf numFmtId="350" fontId="40" fillId="0" borderId="0" applyFill="0" applyBorder="0" applyAlignment="0">
      <protection locked="0"/>
    </xf>
    <xf numFmtId="348" fontId="40" fillId="0" borderId="0" applyFill="0" applyBorder="0" applyAlignment="0">
      <protection locked="0"/>
    </xf>
    <xf numFmtId="348" fontId="40" fillId="0" borderId="0" applyFill="0" applyBorder="0" applyAlignment="0">
      <protection locked="0"/>
    </xf>
    <xf numFmtId="350" fontId="40" fillId="0" borderId="0" applyFill="0" applyBorder="0" applyAlignment="0">
      <protection locked="0"/>
    </xf>
    <xf numFmtId="350"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50" fontId="40" fillId="0" borderId="0" applyFill="0" applyBorder="0" applyAlignment="0">
      <protection locked="0"/>
    </xf>
    <xf numFmtId="350" fontId="40" fillId="0" borderId="0" applyFill="0" applyBorder="0" applyAlignment="0">
      <protection locked="0"/>
    </xf>
    <xf numFmtId="350" fontId="40" fillId="0" borderId="0" applyFill="0" applyBorder="0" applyAlignment="0">
      <protection locked="0"/>
    </xf>
    <xf numFmtId="350"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51" fontId="40" fillId="0" borderId="0" applyFill="0" applyBorder="0" applyAlignment="0">
      <protection locked="0"/>
    </xf>
    <xf numFmtId="351" fontId="40" fillId="0" borderId="0" applyFill="0" applyBorder="0" applyAlignment="0">
      <protection locked="0"/>
    </xf>
    <xf numFmtId="351" fontId="40" fillId="0" borderId="0" applyFill="0" applyBorder="0" applyAlignment="0">
      <protection locked="0"/>
    </xf>
    <xf numFmtId="351"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51"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9" fontId="40" fillId="0" borderId="0" applyFill="0" applyBorder="0" applyAlignment="0">
      <protection locked="0"/>
    </xf>
    <xf numFmtId="349"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51" fontId="40" fillId="0" borderId="0" applyFill="0" applyBorder="0" applyAlignment="0">
      <protection locked="0"/>
    </xf>
    <xf numFmtId="351" fontId="40" fillId="0" borderId="0" applyFill="0" applyBorder="0" applyAlignment="0">
      <protection locked="0"/>
    </xf>
    <xf numFmtId="346" fontId="40" fillId="0" borderId="0" applyFill="0" applyBorder="0" applyAlignment="0">
      <protection locked="0"/>
    </xf>
    <xf numFmtId="351" fontId="40" fillId="0" borderId="0" applyFill="0" applyBorder="0" applyAlignment="0">
      <protection locked="0"/>
    </xf>
    <xf numFmtId="351" fontId="40" fillId="0" borderId="0" applyFill="0" applyBorder="0" applyAlignment="0">
      <protection locked="0"/>
    </xf>
    <xf numFmtId="339"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7" fontId="40" fillId="0" borderId="0" applyFill="0" applyBorder="0" applyAlignment="0">
      <protection locked="0"/>
    </xf>
    <xf numFmtId="347" fontId="40" fillId="0" borderId="0" applyFill="0" applyBorder="0" applyAlignment="0">
      <protection locked="0"/>
    </xf>
    <xf numFmtId="347" fontId="40" fillId="0" borderId="0" applyFill="0" applyBorder="0" applyAlignment="0">
      <protection locked="0"/>
    </xf>
    <xf numFmtId="347"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7"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6" fontId="40" fillId="0" borderId="0" applyFill="0" applyBorder="0" applyAlignment="0">
      <protection locked="0"/>
    </xf>
    <xf numFmtId="347" fontId="40" fillId="0" borderId="0" applyFill="0" applyBorder="0" applyAlignment="0">
      <protection locked="0"/>
    </xf>
    <xf numFmtId="347" fontId="40" fillId="0" borderId="0" applyFill="0" applyBorder="0" applyAlignment="0">
      <protection locked="0"/>
    </xf>
    <xf numFmtId="346" fontId="40" fillId="0" borderId="0" applyFill="0" applyBorder="0" applyAlignment="0">
      <protection locked="0"/>
    </xf>
    <xf numFmtId="347" fontId="40" fillId="0" borderId="0" applyFill="0" applyBorder="0" applyAlignment="0">
      <protection locked="0"/>
    </xf>
    <xf numFmtId="347" fontId="40" fillId="0" borderId="0" applyFill="0" applyBorder="0" applyAlignment="0">
      <protection locked="0"/>
    </xf>
    <xf numFmtId="352" fontId="40" fillId="0" borderId="0" applyFill="0" applyBorder="0" applyAlignment="0">
      <protection locked="0"/>
    </xf>
    <xf numFmtId="0" fontId="5" fillId="0" borderId="0"/>
    <xf numFmtId="345" fontId="40" fillId="0" borderId="0" applyFill="0" applyBorder="0" applyAlignment="0">
      <protection locked="0"/>
    </xf>
    <xf numFmtId="345" fontId="40" fillId="0" borderId="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 fillId="0" borderId="0"/>
    <xf numFmtId="0" fontId="5" fillId="0" borderId="0"/>
    <xf numFmtId="0" fontId="5" fillId="0" borderId="0"/>
    <xf numFmtId="0" fontId="5" fillId="0" borderId="0"/>
    <xf numFmtId="0" fontId="5" fillId="0" borderId="0"/>
    <xf numFmtId="0" fontId="5" fillId="0" borderId="0"/>
    <xf numFmtId="0" fontId="50" fillId="0" borderId="0" applyNumberFormat="0" applyFill="0" applyBorder="0" applyAlignment="0">
      <protection locked="0"/>
    </xf>
    <xf numFmtId="342" fontId="40" fillId="0" borderId="0" applyFill="0" applyBorder="0" applyAlignment="0">
      <protection locked="0"/>
    </xf>
    <xf numFmtId="342" fontId="40" fillId="0" borderId="0" applyFill="0" applyBorder="0" applyAlignment="0">
      <protection locked="0"/>
    </xf>
    <xf numFmtId="339" fontId="40" fillId="0" borderId="0" applyFill="0" applyBorder="0" applyAlignment="0">
      <protection locked="0"/>
    </xf>
    <xf numFmtId="339" fontId="40" fillId="0" borderId="0" applyFill="0" applyBorder="0" applyAlignment="0">
      <protection locked="0"/>
    </xf>
    <xf numFmtId="0" fontId="50" fillId="0" borderId="0" applyNumberFormat="0" applyFill="0" applyBorder="0" applyAlignment="0">
      <protection locked="0"/>
    </xf>
    <xf numFmtId="342" fontId="40" fillId="0" borderId="0" applyFill="0" applyBorder="0" applyAlignment="0">
      <protection locked="0"/>
    </xf>
    <xf numFmtId="342" fontId="40" fillId="0" borderId="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0" fontId="50" fillId="0" borderId="0" applyNumberFormat="0" applyFill="0" applyBorder="0" applyAlignment="0">
      <protection locked="0"/>
    </xf>
    <xf numFmtId="357" fontId="40" fillId="0" borderId="0" applyFill="0" applyBorder="0" applyAlignment="0">
      <protection locked="0"/>
    </xf>
    <xf numFmtId="357" fontId="40" fillId="0" borderId="0" applyFill="0" applyBorder="0" applyAlignment="0">
      <protection locked="0"/>
    </xf>
    <xf numFmtId="357" fontId="40" fillId="0" borderId="0" applyFill="0" applyBorder="0" applyAlignment="0">
      <protection locked="0"/>
    </xf>
    <xf numFmtId="0" fontId="45" fillId="82" borderId="0"/>
    <xf numFmtId="0" fontId="45" fillId="82" borderId="0"/>
    <xf numFmtId="357" fontId="40" fillId="0" borderId="0" applyFill="0" applyBorder="0" applyAlignment="0">
      <protection locked="0"/>
    </xf>
    <xf numFmtId="357" fontId="40" fillId="0" borderId="0" applyFill="0" applyBorder="0" applyAlignment="0">
      <protection locked="0"/>
    </xf>
    <xf numFmtId="0" fontId="45" fillId="82" borderId="0"/>
    <xf numFmtId="357" fontId="40" fillId="0" borderId="0" applyFill="0" applyBorder="0" applyAlignment="0">
      <protection locked="0"/>
    </xf>
    <xf numFmtId="357" fontId="40" fillId="0" borderId="0" applyFill="0" applyBorder="0" applyAlignment="0">
      <protection locked="0"/>
    </xf>
    <xf numFmtId="357" fontId="40" fillId="0" borderId="0" applyFill="0" applyBorder="0" applyAlignment="0">
      <protection locked="0"/>
    </xf>
    <xf numFmtId="357" fontId="40" fillId="0" borderId="0" applyFill="0" applyBorder="0" applyAlignment="0">
      <protection locked="0"/>
    </xf>
    <xf numFmtId="357" fontId="40" fillId="0" borderId="0" applyFill="0" applyBorder="0" applyAlignment="0">
      <protection locked="0"/>
    </xf>
    <xf numFmtId="357" fontId="40" fillId="0" borderId="0" applyFill="0" applyBorder="0" applyAlignment="0">
      <protection locked="0"/>
    </xf>
    <xf numFmtId="357" fontId="40" fillId="0" borderId="0" applyFill="0" applyBorder="0" applyAlignment="0">
      <protection locked="0"/>
    </xf>
    <xf numFmtId="357" fontId="40" fillId="0" borderId="0" applyFill="0" applyBorder="0" applyAlignment="0">
      <protection locked="0"/>
    </xf>
    <xf numFmtId="0" fontId="40" fillId="0" borderId="0" applyNumberFormat="0" applyBorder="0" applyAlignment="0">
      <protection hidden="1"/>
    </xf>
    <xf numFmtId="0" fontId="47" fillId="82" borderId="0"/>
    <xf numFmtId="0" fontId="47" fillId="82" borderId="0"/>
    <xf numFmtId="0" fontId="47" fillId="82" borderId="0"/>
    <xf numFmtId="0" fontId="47" fillId="82" borderId="0"/>
    <xf numFmtId="0" fontId="47" fillId="82" borderId="0"/>
    <xf numFmtId="0" fontId="13" fillId="0" borderId="0"/>
    <xf numFmtId="0" fontId="96" fillId="83" borderId="0" applyNumberFormat="0" applyBorder="0" applyAlignment="0">
      <protection locked="0"/>
    </xf>
    <xf numFmtId="0" fontId="96" fillId="84" borderId="0" applyNumberFormat="0" applyBorder="0" applyAlignment="0">
      <protection locked="0"/>
    </xf>
    <xf numFmtId="0" fontId="96" fillId="85" borderId="0" applyNumberFormat="0" applyBorder="0" applyAlignment="0">
      <protection locked="0"/>
    </xf>
    <xf numFmtId="0" fontId="96" fillId="86" borderId="0" applyNumberFormat="0" applyBorder="0" applyAlignment="0">
      <protection locked="0"/>
    </xf>
    <xf numFmtId="0" fontId="96" fillId="87" borderId="0" applyNumberFormat="0" applyBorder="0" applyAlignment="0">
      <protection locked="0"/>
    </xf>
    <xf numFmtId="0" fontId="96" fillId="88" borderId="0" applyNumberFormat="0" applyBorder="0" applyAlignment="0">
      <protection locked="0"/>
    </xf>
    <xf numFmtId="0" fontId="48" fillId="82" borderId="0"/>
    <xf numFmtId="0" fontId="48" fillId="82" borderId="0"/>
    <xf numFmtId="0" fontId="48" fillId="82" borderId="0"/>
    <xf numFmtId="0" fontId="48" fillId="82" borderId="0"/>
    <xf numFmtId="0" fontId="48" fillId="82" borderId="0"/>
    <xf numFmtId="0" fontId="96" fillId="89" borderId="0" applyNumberFormat="0" applyBorder="0" applyAlignment="0">
      <protection locked="0"/>
    </xf>
    <xf numFmtId="0" fontId="96" fillId="90" borderId="0" applyNumberFormat="0" applyBorder="0" applyAlignment="0">
      <protection locked="0"/>
    </xf>
    <xf numFmtId="0" fontId="96" fillId="91" borderId="0" applyNumberFormat="0" applyBorder="0" applyAlignment="0">
      <protection locked="0"/>
    </xf>
    <xf numFmtId="0" fontId="96" fillId="86" borderId="0" applyNumberFormat="0" applyBorder="0" applyAlignment="0">
      <protection locked="0"/>
    </xf>
    <xf numFmtId="0" fontId="96" fillId="89" borderId="0" applyNumberFormat="0" applyBorder="0" applyAlignment="0">
      <protection locked="0"/>
    </xf>
    <xf numFmtId="0" fontId="96" fillId="92" borderId="0" applyNumberFormat="0" applyBorder="0" applyAlignment="0">
      <protection locked="0"/>
    </xf>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215" fillId="93" borderId="0" applyNumberFormat="0" applyBorder="0" applyAlignment="0">
      <protection locked="0"/>
    </xf>
    <xf numFmtId="0" fontId="215" fillId="90" borderId="0" applyNumberFormat="0" applyBorder="0" applyAlignment="0">
      <protection locked="0"/>
    </xf>
    <xf numFmtId="0" fontId="215" fillId="91" borderId="0" applyNumberFormat="0" applyBorder="0" applyAlignment="0">
      <protection locked="0"/>
    </xf>
    <xf numFmtId="0" fontId="215" fillId="94" borderId="0" applyNumberFormat="0" applyBorder="0" applyAlignment="0">
      <protection locked="0"/>
    </xf>
    <xf numFmtId="0" fontId="215" fillId="95" borderId="0" applyNumberFormat="0" applyBorder="0" applyAlignment="0">
      <protection locked="0"/>
    </xf>
    <xf numFmtId="0" fontId="215" fillId="96" borderId="0" applyNumberFormat="0" applyBorder="0" applyAlignment="0">
      <protection locked="0"/>
    </xf>
    <xf numFmtId="0" fontId="147" fillId="0" borderId="0"/>
    <xf numFmtId="342" fontId="40" fillId="0" borderId="0" applyFill="0" applyBorder="0" applyAlignment="0">
      <protection locked="0"/>
    </xf>
    <xf numFmtId="0" fontId="216" fillId="0" borderId="0" applyNumberFormat="0" applyFill="0" applyBorder="0" applyAlignment="0">
      <protection locked="0"/>
    </xf>
    <xf numFmtId="338" fontId="40" fillId="0" borderId="0" applyFill="0" applyBorder="0" applyAlignment="0">
      <protection locked="0"/>
    </xf>
    <xf numFmtId="358" fontId="217" fillId="0" borderId="0" applyFill="0" applyBorder="0" applyAlignment="0">
      <protection locked="0"/>
    </xf>
    <xf numFmtId="359" fontId="217" fillId="0" borderId="0" applyFill="0" applyBorder="0" applyAlignment="0">
      <protection locked="0"/>
    </xf>
    <xf numFmtId="0" fontId="218" fillId="0" borderId="0"/>
    <xf numFmtId="360" fontId="219" fillId="0" borderId="0" applyBorder="0"/>
    <xf numFmtId="360" fontId="220" fillId="0" borderId="58">
      <protection locked="0"/>
    </xf>
    <xf numFmtId="0" fontId="221" fillId="0" borderId="0"/>
    <xf numFmtId="0" fontId="5" fillId="0" borderId="0"/>
    <xf numFmtId="3" fontId="217" fillId="0" borderId="0" applyFill="0" applyBorder="0" applyAlignment="0">
      <protection locked="0"/>
    </xf>
    <xf numFmtId="0" fontId="221" fillId="0" borderId="0"/>
    <xf numFmtId="0" fontId="5" fillId="0" borderId="0"/>
    <xf numFmtId="40" fontId="40" fillId="0" borderId="0" applyFill="0" applyBorder="0" applyAlignment="0">
      <protection locked="0"/>
    </xf>
    <xf numFmtId="361" fontId="222" fillId="0" borderId="0">
      <protection locked="0"/>
    </xf>
    <xf numFmtId="362" fontId="222" fillId="0" borderId="0">
      <protection locked="0"/>
    </xf>
    <xf numFmtId="363" fontId="223" fillId="0" borderId="59">
      <protection locked="0"/>
    </xf>
    <xf numFmtId="0" fontId="225" fillId="0" borderId="0" applyNumberFormat="0" applyFill="0" applyBorder="0" applyAlignment="0" applyProtection="0">
      <alignment vertical="top"/>
      <protection locked="0"/>
    </xf>
    <xf numFmtId="43" fontId="4" fillId="0" borderId="0" applyFont="0" applyFill="0" applyBorder="0" applyAlignment="0" applyProtection="0"/>
    <xf numFmtId="0" fontId="1" fillId="0" borderId="0"/>
  </cellStyleXfs>
  <cellXfs count="635">
    <xf numFmtId="0" fontId="0" fillId="0" borderId="0" xfId="0"/>
    <xf numFmtId="41" fontId="25" fillId="0" borderId="2" xfId="1" applyNumberFormat="1" applyFont="1" applyFill="1" applyBorder="1" applyAlignment="1">
      <alignment horizontal="left" vertical="center" wrapText="1"/>
    </xf>
    <xf numFmtId="1" fontId="21" fillId="0" borderId="2" xfId="3" applyNumberFormat="1" applyFont="1" applyBorder="1" applyAlignment="1">
      <alignment horizontal="center" vertical="center" wrapText="1"/>
    </xf>
    <xf numFmtId="0" fontId="21" fillId="0" borderId="2" xfId="0" applyFont="1" applyBorder="1" applyAlignment="1">
      <alignment horizontal="justify" vertical="center" wrapText="1"/>
    </xf>
    <xf numFmtId="41" fontId="21" fillId="0" borderId="0" xfId="2" applyNumberFormat="1" applyFont="1" applyAlignment="1">
      <alignment vertical="center" wrapText="1"/>
    </xf>
    <xf numFmtId="41" fontId="25" fillId="0" borderId="2" xfId="2" applyNumberFormat="1" applyFont="1" applyBorder="1" applyAlignment="1">
      <alignment vertical="center"/>
    </xf>
    <xf numFmtId="41" fontId="7" fillId="0" borderId="0" xfId="1" applyNumberFormat="1" applyFont="1" applyFill="1" applyBorder="1" applyAlignment="1">
      <alignment vertical="center"/>
    </xf>
    <xf numFmtId="0" fontId="21" fillId="0" borderId="2" xfId="2" applyFont="1" applyBorder="1" applyAlignment="1">
      <alignment horizontal="center" vertical="center" wrapText="1"/>
    </xf>
    <xf numFmtId="0" fontId="21" fillId="0" borderId="0" xfId="2" applyFont="1" applyAlignment="1">
      <alignment vertical="center" wrapText="1"/>
    </xf>
    <xf numFmtId="0" fontId="24" fillId="0" borderId="1" xfId="2" applyFont="1" applyBorder="1" applyAlignment="1">
      <alignment horizontal="right" vertical="center" wrapText="1"/>
    </xf>
    <xf numFmtId="41" fontId="21" fillId="0" borderId="0" xfId="1" applyNumberFormat="1" applyFont="1" applyFill="1" applyBorder="1" applyAlignment="1">
      <alignment horizontal="right" vertical="center"/>
    </xf>
    <xf numFmtId="0" fontId="29" fillId="0" borderId="2" xfId="2" applyFont="1" applyBorder="1" applyAlignment="1">
      <alignment horizontal="center" vertical="center" wrapText="1"/>
    </xf>
    <xf numFmtId="0" fontId="29" fillId="0" borderId="2" xfId="2" applyFont="1" applyBorder="1" applyAlignment="1">
      <alignment vertical="center" wrapText="1"/>
    </xf>
    <xf numFmtId="0" fontId="25" fillId="0" borderId="0" xfId="2" applyFont="1" applyAlignment="1">
      <alignment vertical="center" wrapText="1"/>
    </xf>
    <xf numFmtId="0" fontId="29" fillId="0" borderId="2" xfId="2" applyFont="1" applyBorder="1" applyAlignment="1">
      <alignment horizontal="left" vertical="center" wrapText="1"/>
    </xf>
    <xf numFmtId="0" fontId="35" fillId="0" borderId="0" xfId="2" applyFont="1" applyAlignment="1">
      <alignment vertical="center" wrapText="1"/>
    </xf>
    <xf numFmtId="49" fontId="21" fillId="0" borderId="2" xfId="7" applyNumberFormat="1" applyFont="1" applyBorder="1" applyAlignment="1">
      <alignment vertical="center" wrapText="1"/>
    </xf>
    <xf numFmtId="0" fontId="21" fillId="0" borderId="0" xfId="2" applyFont="1" applyAlignment="1">
      <alignment horizontal="center" vertical="center" wrapText="1"/>
    </xf>
    <xf numFmtId="41" fontId="28" fillId="0" borderId="2" xfId="1" applyNumberFormat="1" applyFont="1" applyFill="1" applyBorder="1" applyAlignment="1">
      <alignment horizontal="right" vertical="center"/>
    </xf>
    <xf numFmtId="1" fontId="25" fillId="0" borderId="2" xfId="3" applyNumberFormat="1" applyFont="1" applyBorder="1" applyAlignment="1">
      <alignment horizontal="left" vertical="center" wrapText="1"/>
    </xf>
    <xf numFmtId="41" fontId="25" fillId="0" borderId="2" xfId="1" applyNumberFormat="1" applyFont="1" applyFill="1" applyBorder="1" applyAlignment="1">
      <alignment horizontal="right" vertical="center"/>
    </xf>
    <xf numFmtId="41" fontId="29" fillId="0" borderId="2" xfId="2" applyNumberFormat="1" applyFont="1" applyBorder="1" applyAlignment="1">
      <alignment vertical="center"/>
    </xf>
    <xf numFmtId="41" fontId="7" fillId="0" borderId="2" xfId="1" applyNumberFormat="1" applyFont="1" applyFill="1" applyBorder="1" applyAlignment="1">
      <alignment vertical="center"/>
    </xf>
    <xf numFmtId="41" fontId="7" fillId="0" borderId="2" xfId="1" applyNumberFormat="1" applyFont="1" applyFill="1" applyBorder="1" applyAlignment="1">
      <alignment horizontal="right" vertical="center"/>
    </xf>
    <xf numFmtId="41" fontId="25" fillId="0" borderId="2" xfId="1" applyNumberFormat="1" applyFont="1" applyFill="1" applyBorder="1" applyAlignment="1">
      <alignment vertical="center"/>
    </xf>
    <xf numFmtId="41" fontId="21" fillId="0" borderId="2" xfId="1" applyNumberFormat="1" applyFont="1" applyFill="1" applyBorder="1" applyAlignment="1">
      <alignment vertical="center"/>
    </xf>
    <xf numFmtId="41" fontId="21" fillId="0" borderId="2" xfId="7" applyNumberFormat="1" applyFont="1" applyBorder="1" applyAlignment="1">
      <alignment vertical="center"/>
    </xf>
    <xf numFmtId="0" fontId="104" fillId="0" borderId="2" xfId="4" applyFont="1" applyBorder="1" applyAlignment="1">
      <alignment horizontal="left" vertical="center" wrapText="1"/>
    </xf>
    <xf numFmtId="41" fontId="108" fillId="0" borderId="2" xfId="1" applyNumberFormat="1" applyFont="1" applyFill="1" applyBorder="1" applyAlignment="1">
      <alignment horizontal="right" vertical="center"/>
    </xf>
    <xf numFmtId="41" fontId="104" fillId="0" borderId="2" xfId="1" applyNumberFormat="1" applyFont="1" applyFill="1" applyBorder="1" applyAlignment="1">
      <alignment horizontal="right" vertical="center"/>
    </xf>
    <xf numFmtId="1" fontId="25" fillId="79" borderId="2" xfId="3" applyNumberFormat="1" applyFont="1" applyFill="1" applyBorder="1" applyAlignment="1">
      <alignment horizontal="left" vertical="center" wrapText="1"/>
    </xf>
    <xf numFmtId="0" fontId="21" fillId="0" borderId="0" xfId="0" applyFont="1" applyAlignment="1">
      <alignment horizontal="center" vertical="center" wrapText="1"/>
    </xf>
    <xf numFmtId="0" fontId="21" fillId="0" borderId="0" xfId="0" applyFont="1" applyAlignment="1">
      <alignment vertical="center" wrapText="1"/>
    </xf>
    <xf numFmtId="41" fontId="21" fillId="0" borderId="0" xfId="0" applyNumberFormat="1" applyFont="1" applyAlignment="1">
      <alignment vertical="center" wrapText="1"/>
    </xf>
    <xf numFmtId="41" fontId="25" fillId="0" borderId="2" xfId="1" applyNumberFormat="1" applyFont="1" applyFill="1" applyBorder="1" applyAlignment="1">
      <alignment horizontal="left" vertical="center"/>
    </xf>
    <xf numFmtId="0" fontId="35" fillId="0" borderId="0" xfId="2" applyFont="1" applyAlignment="1">
      <alignment horizontal="center" vertical="center" wrapText="1"/>
    </xf>
    <xf numFmtId="169" fontId="21" fillId="0" borderId="2" xfId="1" applyNumberFormat="1" applyFont="1" applyFill="1" applyBorder="1" applyAlignment="1">
      <alignment vertical="center"/>
    </xf>
    <xf numFmtId="41" fontId="21" fillId="0" borderId="5" xfId="1" applyNumberFormat="1" applyFont="1" applyFill="1" applyBorder="1" applyAlignment="1">
      <alignment vertical="center"/>
    </xf>
    <xf numFmtId="41" fontId="21" fillId="0" borderId="8" xfId="1" applyNumberFormat="1" applyFont="1" applyFill="1" applyBorder="1" applyAlignment="1">
      <alignment vertical="center"/>
    </xf>
    <xf numFmtId="41" fontId="25" fillId="79" borderId="2" xfId="2" applyNumberFormat="1" applyFont="1" applyFill="1" applyBorder="1" applyAlignment="1">
      <alignment vertical="center"/>
    </xf>
    <xf numFmtId="0" fontId="26" fillId="0" borderId="2" xfId="2" applyFont="1" applyBorder="1" applyAlignment="1">
      <alignment horizontal="center" vertical="center" wrapText="1"/>
    </xf>
    <xf numFmtId="41" fontId="99" fillId="0" borderId="2" xfId="1" applyNumberFormat="1" applyFont="1" applyFill="1" applyBorder="1" applyAlignment="1">
      <alignment horizontal="right" vertical="center"/>
    </xf>
    <xf numFmtId="41" fontId="26" fillId="0" borderId="2" xfId="2" applyNumberFormat="1" applyFont="1" applyBorder="1" applyAlignment="1">
      <alignment vertical="center"/>
    </xf>
    <xf numFmtId="41" fontId="26" fillId="0" borderId="2" xfId="1" applyNumberFormat="1" applyFont="1" applyFill="1" applyBorder="1" applyAlignment="1">
      <alignment horizontal="right" vertical="center"/>
    </xf>
    <xf numFmtId="41" fontId="26" fillId="0" borderId="0" xfId="2" applyNumberFormat="1" applyFont="1" applyAlignment="1">
      <alignment vertical="center" wrapText="1"/>
    </xf>
    <xf numFmtId="0" fontId="26" fillId="0" borderId="0" xfId="2" applyFont="1" applyAlignment="1">
      <alignment vertical="center" wrapText="1"/>
    </xf>
    <xf numFmtId="41" fontId="104" fillId="0" borderId="2" xfId="1" applyNumberFormat="1" applyFont="1" applyFill="1" applyBorder="1" applyAlignment="1">
      <alignment vertical="center"/>
    </xf>
    <xf numFmtId="41" fontId="104" fillId="0" borderId="2" xfId="1" applyNumberFormat="1" applyFont="1" applyFill="1" applyBorder="1" applyAlignment="1">
      <alignment horizontal="left" vertical="center" wrapText="1"/>
    </xf>
    <xf numFmtId="41" fontId="105" fillId="0" borderId="2" xfId="1" applyNumberFormat="1" applyFont="1" applyFill="1" applyBorder="1" applyAlignment="1">
      <alignment vertical="center"/>
    </xf>
    <xf numFmtId="0" fontId="7" fillId="0" borderId="0" xfId="2" applyFont="1" applyAlignment="1">
      <alignment vertical="center" wrapText="1"/>
    </xf>
    <xf numFmtId="0" fontId="7" fillId="0" borderId="0" xfId="2" applyFont="1" applyAlignment="1">
      <alignment horizontal="center" vertical="center" wrapText="1"/>
    </xf>
    <xf numFmtId="170" fontId="21" fillId="0" borderId="2" xfId="27" applyNumberFormat="1" applyFont="1" applyFill="1" applyBorder="1" applyAlignment="1" applyProtection="1">
      <alignment vertical="center"/>
    </xf>
    <xf numFmtId="170" fontId="104" fillId="0" borderId="2" xfId="27" applyNumberFormat="1" applyFont="1" applyFill="1" applyBorder="1" applyAlignment="1" applyProtection="1">
      <alignment vertical="center"/>
    </xf>
    <xf numFmtId="170" fontId="7" fillId="0" borderId="2" xfId="27" applyNumberFormat="1" applyFont="1" applyFill="1" applyBorder="1" applyAlignment="1" applyProtection="1">
      <alignment vertical="center"/>
    </xf>
    <xf numFmtId="169" fontId="24" fillId="0" borderId="1" xfId="1" applyNumberFormat="1" applyFont="1" applyFill="1" applyBorder="1" applyAlignment="1">
      <alignment horizontal="right" vertical="center" wrapText="1"/>
    </xf>
    <xf numFmtId="169" fontId="21" fillId="0" borderId="0" xfId="1" applyNumberFormat="1" applyFont="1" applyFill="1" applyAlignment="1">
      <alignment vertical="center" wrapText="1"/>
    </xf>
    <xf numFmtId="169" fontId="24" fillId="0" borderId="0" xfId="1" applyNumberFormat="1" applyFont="1" applyFill="1" applyBorder="1" applyAlignment="1">
      <alignment horizontal="right" vertical="center" wrapText="1"/>
    </xf>
    <xf numFmtId="41" fontId="29" fillId="0" borderId="2" xfId="1" applyNumberFormat="1" applyFont="1" applyFill="1" applyBorder="1" applyAlignment="1">
      <alignment vertical="center"/>
    </xf>
    <xf numFmtId="41" fontId="21" fillId="0" borderId="2" xfId="1" applyNumberFormat="1" applyFont="1" applyFill="1" applyBorder="1" applyAlignment="1">
      <alignment horizontal="right" vertical="center"/>
    </xf>
    <xf numFmtId="0" fontId="21" fillId="0" borderId="2" xfId="68" applyFont="1" applyBorder="1" applyAlignment="1">
      <alignment horizontal="center" vertical="center" wrapText="1"/>
    </xf>
    <xf numFmtId="0" fontId="28" fillId="0" borderId="2" xfId="2" applyFont="1" applyBorder="1" applyAlignment="1">
      <alignment horizontal="center" vertical="center" wrapText="1"/>
    </xf>
    <xf numFmtId="1" fontId="28" fillId="0" borderId="2" xfId="3" applyNumberFormat="1" applyFont="1" applyBorder="1" applyAlignment="1">
      <alignment horizontal="center" vertical="center" wrapText="1"/>
    </xf>
    <xf numFmtId="41" fontId="28" fillId="0" borderId="2" xfId="2" applyNumberFormat="1" applyFont="1" applyBorder="1" applyAlignment="1">
      <alignment vertical="center"/>
    </xf>
    <xf numFmtId="41" fontId="28" fillId="0" borderId="0" xfId="2" applyNumberFormat="1" applyFont="1" applyAlignment="1">
      <alignment vertical="center" wrapText="1"/>
    </xf>
    <xf numFmtId="0" fontId="28" fillId="0" borderId="0" xfId="2" applyFont="1" applyAlignment="1">
      <alignment vertical="center" wrapText="1"/>
    </xf>
    <xf numFmtId="0" fontId="25" fillId="0" borderId="0" xfId="2" applyFont="1" applyAlignment="1">
      <alignment horizontal="center" vertical="center" wrapText="1"/>
    </xf>
    <xf numFmtId="0" fontId="21" fillId="0" borderId="2" xfId="2" applyFont="1" applyBorder="1" applyAlignment="1">
      <alignment vertical="center" wrapText="1"/>
    </xf>
    <xf numFmtId="3" fontId="21" fillId="0" borderId="2" xfId="3" applyNumberFormat="1" applyFont="1" applyBorder="1" applyAlignment="1">
      <alignment horizontal="center" vertical="center" wrapText="1"/>
    </xf>
    <xf numFmtId="49" fontId="21" fillId="0" borderId="2" xfId="7" applyNumberFormat="1" applyFont="1" applyBorder="1" applyAlignment="1">
      <alignment horizontal="left" vertical="center" wrapText="1"/>
    </xf>
    <xf numFmtId="0" fontId="98" fillId="0" borderId="2" xfId="2" applyFont="1" applyBorder="1" applyAlignment="1">
      <alignment vertical="center" wrapText="1"/>
    </xf>
    <xf numFmtId="3" fontId="7" fillId="0" borderId="2" xfId="3" applyNumberFormat="1" applyFont="1" applyBorder="1" applyAlignment="1">
      <alignment horizontal="center" vertical="center" wrapText="1"/>
    </xf>
    <xf numFmtId="0" fontId="7" fillId="0" borderId="2" xfId="68" applyFont="1" applyBorder="1" applyAlignment="1">
      <alignment horizontal="center" vertical="center" wrapText="1"/>
    </xf>
    <xf numFmtId="41" fontId="114" fillId="0" borderId="1" xfId="2767" applyNumberFormat="1" applyFont="1" applyBorder="1" applyAlignment="1">
      <alignment horizontal="right" vertical="center" wrapText="1"/>
    </xf>
    <xf numFmtId="41" fontId="7" fillId="0" borderId="2" xfId="2767" applyNumberFormat="1" applyFont="1" applyBorder="1" applyAlignment="1">
      <alignment vertical="center"/>
    </xf>
    <xf numFmtId="0" fontId="7" fillId="0" borderId="0" xfId="2767" applyFont="1" applyAlignment="1">
      <alignment vertical="center" wrapText="1"/>
    </xf>
    <xf numFmtId="0" fontId="25" fillId="0" borderId="2" xfId="2" applyFont="1" applyBorder="1" applyAlignment="1">
      <alignment horizontal="center" vertical="center" wrapText="1"/>
    </xf>
    <xf numFmtId="170" fontId="7" fillId="0" borderId="5" xfId="27" applyNumberFormat="1" applyFont="1" applyFill="1" applyBorder="1" applyAlignment="1" applyProtection="1">
      <alignment vertical="center"/>
    </xf>
    <xf numFmtId="170" fontId="7" fillId="0" borderId="8" xfId="27" applyNumberFormat="1" applyFont="1" applyFill="1" applyBorder="1" applyAlignment="1" applyProtection="1">
      <alignment vertical="center"/>
    </xf>
    <xf numFmtId="0" fontId="7" fillId="0" borderId="0" xfId="0" applyFont="1" applyAlignment="1">
      <alignment horizontal="center" vertical="center" wrapText="1"/>
    </xf>
    <xf numFmtId="0" fontId="7" fillId="0" borderId="0" xfId="0" applyFont="1" applyAlignment="1">
      <alignment vertical="center" wrapText="1"/>
    </xf>
    <xf numFmtId="41" fontId="7" fillId="0" borderId="0" xfId="0" applyNumberFormat="1" applyFont="1" applyAlignment="1">
      <alignment vertical="center" wrapText="1"/>
    </xf>
    <xf numFmtId="41" fontId="205" fillId="0" borderId="2" xfId="0" applyNumberFormat="1" applyFont="1" applyBorder="1" applyAlignment="1">
      <alignment vertical="center"/>
    </xf>
    <xf numFmtId="41" fontId="7" fillId="0" borderId="2" xfId="7" applyNumberFormat="1" applyFont="1" applyBorder="1" applyAlignment="1">
      <alignment vertical="center"/>
    </xf>
    <xf numFmtId="169" fontId="25" fillId="0" borderId="2" xfId="1" applyNumberFormat="1" applyFont="1" applyFill="1" applyBorder="1" applyAlignment="1">
      <alignment horizontal="center" vertical="center" wrapText="1"/>
    </xf>
    <xf numFmtId="0" fontId="208" fillId="0" borderId="0" xfId="2" applyFont="1" applyAlignment="1">
      <alignment vertical="center" wrapText="1"/>
    </xf>
    <xf numFmtId="0" fontId="208" fillId="0" borderId="0" xfId="2" applyFont="1" applyAlignment="1">
      <alignment horizontal="center" vertical="center" wrapText="1"/>
    </xf>
    <xf numFmtId="41" fontId="99" fillId="0" borderId="0" xfId="1" applyNumberFormat="1" applyFont="1" applyFill="1" applyBorder="1" applyAlignment="1">
      <alignment horizontal="right" vertical="center"/>
    </xf>
    <xf numFmtId="0" fontId="99" fillId="0" borderId="0" xfId="2" applyFont="1" applyAlignment="1">
      <alignment horizontal="center" vertical="center" wrapText="1"/>
    </xf>
    <xf numFmtId="0" fontId="99" fillId="0" borderId="0" xfId="2" applyFont="1" applyAlignment="1">
      <alignment vertical="center" wrapText="1"/>
    </xf>
    <xf numFmtId="0" fontId="99" fillId="0" borderId="0" xfId="30" applyFont="1" applyAlignment="1">
      <alignment horizontal="center" vertical="center" wrapText="1"/>
    </xf>
    <xf numFmtId="0" fontId="99" fillId="0" borderId="0" xfId="30" applyFont="1" applyAlignment="1">
      <alignment vertical="center" wrapText="1"/>
    </xf>
    <xf numFmtId="0" fontId="21" fillId="0" borderId="0" xfId="30" applyFont="1" applyAlignment="1">
      <alignment vertical="center" wrapText="1"/>
    </xf>
    <xf numFmtId="0" fontId="21" fillId="0" borderId="0" xfId="30" applyFont="1" applyAlignment="1">
      <alignment horizontal="center" vertical="center" wrapText="1"/>
    </xf>
    <xf numFmtId="41" fontId="99" fillId="0" borderId="0" xfId="2" applyNumberFormat="1" applyFont="1" applyAlignment="1">
      <alignment vertical="center" wrapText="1"/>
    </xf>
    <xf numFmtId="41" fontId="21" fillId="0" borderId="0" xfId="30" applyNumberFormat="1" applyFont="1" applyAlignment="1">
      <alignment vertical="center" wrapText="1"/>
    </xf>
    <xf numFmtId="0" fontId="26" fillId="0" borderId="2" xfId="7" applyFont="1" applyBorder="1" applyAlignment="1">
      <alignment horizontal="center" vertical="center" wrapText="1"/>
    </xf>
    <xf numFmtId="41" fontId="99" fillId="0" borderId="0" xfId="30" applyNumberFormat="1" applyFont="1" applyAlignment="1">
      <alignment vertical="center" wrapText="1"/>
    </xf>
    <xf numFmtId="41" fontId="7" fillId="0" borderId="0" xfId="30" applyNumberFormat="1" applyFont="1" applyAlignment="1">
      <alignment vertical="center" wrapText="1"/>
    </xf>
    <xf numFmtId="0" fontId="104" fillId="0" borderId="0" xfId="30" applyFont="1" applyAlignment="1">
      <alignment vertical="center" wrapText="1"/>
    </xf>
    <xf numFmtId="0" fontId="108" fillId="0" borderId="0" xfId="30" applyFont="1" applyAlignment="1">
      <alignment vertical="center" wrapText="1"/>
    </xf>
    <xf numFmtId="0" fontId="29" fillId="0" borderId="0" xfId="2" applyFont="1" applyAlignment="1">
      <alignment vertical="center" wrapText="1"/>
    </xf>
    <xf numFmtId="0" fontId="29" fillId="0" borderId="0" xfId="2" applyFont="1" applyAlignment="1">
      <alignment horizontal="center" vertical="center" wrapText="1"/>
    </xf>
    <xf numFmtId="0" fontId="7" fillId="0" borderId="0" xfId="30" applyFont="1" applyAlignment="1">
      <alignment vertical="center" wrapText="1"/>
    </xf>
    <xf numFmtId="0" fontId="112" fillId="0" borderId="2" xfId="2" applyFont="1" applyBorder="1" applyAlignment="1">
      <alignment vertical="center" wrapText="1"/>
    </xf>
    <xf numFmtId="49" fontId="21" fillId="0" borderId="2" xfId="2296" applyNumberFormat="1" applyFont="1" applyBorder="1" applyAlignment="1">
      <alignment horizontal="center" vertical="center" wrapText="1"/>
    </xf>
    <xf numFmtId="0" fontId="21" fillId="0" borderId="2" xfId="30" applyFont="1" applyBorder="1" applyAlignment="1">
      <alignment horizontal="left" vertical="center" wrapText="1"/>
    </xf>
    <xf numFmtId="0" fontId="25" fillId="0" borderId="0" xfId="7" applyFont="1" applyAlignment="1">
      <alignment vertical="center" wrapText="1"/>
    </xf>
    <xf numFmtId="41" fontId="25" fillId="0" borderId="0" xfId="7" applyNumberFormat="1" applyFont="1" applyAlignment="1">
      <alignment vertical="center" wrapText="1"/>
    </xf>
    <xf numFmtId="0" fontId="108" fillId="0" borderId="0" xfId="0" applyFont="1" applyAlignment="1">
      <alignment horizontal="center" vertical="center" wrapText="1"/>
    </xf>
    <xf numFmtId="0" fontId="108" fillId="0" borderId="0" xfId="0" applyFont="1" applyAlignment="1">
      <alignment vertical="center" wrapText="1"/>
    </xf>
    <xf numFmtId="0" fontId="104" fillId="0" borderId="0" xfId="0" applyFont="1" applyAlignment="1">
      <alignment horizontal="center" vertical="center" wrapText="1"/>
    </xf>
    <xf numFmtId="0" fontId="104" fillId="0" borderId="0" xfId="0" applyFont="1" applyAlignment="1">
      <alignment vertical="center" wrapText="1"/>
    </xf>
    <xf numFmtId="41" fontId="21" fillId="0" borderId="2" xfId="2" applyNumberFormat="1" applyFont="1" applyBorder="1" applyAlignment="1">
      <alignment vertical="center"/>
    </xf>
    <xf numFmtId="49" fontId="7" fillId="0" borderId="2" xfId="2296" applyNumberFormat="1" applyFont="1" applyBorder="1" applyAlignment="1">
      <alignment horizontal="center" vertical="center" wrapText="1"/>
    </xf>
    <xf numFmtId="0" fontId="7" fillId="0" borderId="2" xfId="0" applyFont="1" applyBorder="1" applyAlignment="1">
      <alignment horizontal="center" vertical="center" wrapText="1"/>
    </xf>
    <xf numFmtId="41" fontId="21" fillId="0" borderId="2" xfId="0" applyNumberFormat="1" applyFont="1" applyBorder="1" applyAlignment="1">
      <alignment vertical="center"/>
    </xf>
    <xf numFmtId="49" fontId="7" fillId="0" borderId="2" xfId="2600" applyNumberFormat="1" applyFont="1" applyBorder="1" applyAlignment="1">
      <alignment horizontal="center" vertical="center" wrapText="1"/>
    </xf>
    <xf numFmtId="0" fontId="7" fillId="0" borderId="2" xfId="68" applyFont="1" applyBorder="1" applyAlignment="1">
      <alignment vertical="center" wrapText="1"/>
    </xf>
    <xf numFmtId="0" fontId="114" fillId="0" borderId="1" xfId="2767" applyFont="1" applyBorder="1" applyAlignment="1">
      <alignment horizontal="right" vertical="center" wrapText="1"/>
    </xf>
    <xf numFmtId="0" fontId="7" fillId="0" borderId="0" xfId="2767" applyFont="1" applyAlignment="1">
      <alignment horizontal="center" vertical="center" wrapText="1"/>
    </xf>
    <xf numFmtId="41" fontId="7" fillId="0" borderId="0" xfId="2767" applyNumberFormat="1" applyFont="1" applyAlignment="1">
      <alignment vertical="center" wrapText="1"/>
    </xf>
    <xf numFmtId="0" fontId="104" fillId="0" borderId="2" xfId="2767" applyFont="1" applyBorder="1" applyAlignment="1">
      <alignment horizontal="center" vertical="center" wrapText="1"/>
    </xf>
    <xf numFmtId="0" fontId="105" fillId="0" borderId="2" xfId="2767" applyFont="1" applyBorder="1" applyAlignment="1">
      <alignment horizontal="center" vertical="center" wrapText="1"/>
    </xf>
    <xf numFmtId="0" fontId="117" fillId="0" borderId="2" xfId="2767" applyFont="1" applyBorder="1" applyAlignment="1">
      <alignment horizontal="center" vertical="center" wrapText="1"/>
    </xf>
    <xf numFmtId="1" fontId="108" fillId="0" borderId="2" xfId="3" applyNumberFormat="1" applyFont="1" applyBorder="1" applyAlignment="1">
      <alignment horizontal="center" vertical="center" wrapText="1"/>
    </xf>
    <xf numFmtId="0" fontId="108" fillId="0" borderId="0" xfId="2767" applyFont="1" applyAlignment="1">
      <alignment vertical="center" wrapText="1"/>
    </xf>
    <xf numFmtId="0" fontId="108" fillId="0" borderId="0" xfId="2767" applyFont="1" applyAlignment="1">
      <alignment horizontal="center" vertical="center" wrapText="1"/>
    </xf>
    <xf numFmtId="0" fontId="104" fillId="0" borderId="2" xfId="2767" applyFont="1" applyBorder="1" applyAlignment="1">
      <alignment vertical="center" wrapText="1"/>
    </xf>
    <xf numFmtId="41" fontId="104" fillId="0" borderId="2" xfId="2767" applyNumberFormat="1" applyFont="1" applyBorder="1" applyAlignment="1">
      <alignment vertical="center" wrapText="1"/>
    </xf>
    <xf numFmtId="0" fontId="104" fillId="0" borderId="0" xfId="2767" applyFont="1" applyAlignment="1">
      <alignment vertical="center" wrapText="1"/>
    </xf>
    <xf numFmtId="0" fontId="105" fillId="0" borderId="2" xfId="2767" applyFont="1" applyBorder="1" applyAlignment="1">
      <alignment vertical="center" wrapText="1"/>
    </xf>
    <xf numFmtId="41" fontId="105" fillId="0" borderId="2" xfId="2767" applyNumberFormat="1" applyFont="1" applyBorder="1" applyAlignment="1">
      <alignment vertical="center" wrapText="1"/>
    </xf>
    <xf numFmtId="0" fontId="105" fillId="0" borderId="0" xfId="2767" applyFont="1" applyAlignment="1">
      <alignment vertical="center" wrapText="1"/>
    </xf>
    <xf numFmtId="0" fontId="7" fillId="0" borderId="2" xfId="2767" applyFont="1" applyBorder="1" applyAlignment="1">
      <alignment horizontal="center" vertical="center" wrapText="1"/>
    </xf>
    <xf numFmtId="1" fontId="7" fillId="0" borderId="2" xfId="3" applyNumberFormat="1" applyFont="1" applyBorder="1" applyAlignment="1">
      <alignment horizontal="center" vertical="center" wrapText="1"/>
    </xf>
    <xf numFmtId="41" fontId="104" fillId="0" borderId="0" xfId="2767" applyNumberFormat="1" applyFont="1" applyAlignment="1">
      <alignment vertical="center" wrapText="1"/>
    </xf>
    <xf numFmtId="0" fontId="21" fillId="0" borderId="0" xfId="2" applyFont="1" applyAlignment="1">
      <alignment horizontal="left" vertical="center" wrapText="1"/>
    </xf>
    <xf numFmtId="0" fontId="7" fillId="0" borderId="2" xfId="30" applyFont="1" applyBorder="1" applyAlignment="1">
      <alignment horizontal="center" vertical="center" wrapText="1"/>
    </xf>
    <xf numFmtId="41" fontId="25" fillId="0" borderId="0" xfId="2" applyNumberFormat="1" applyFont="1" applyAlignment="1">
      <alignment vertical="center" wrapText="1"/>
    </xf>
    <xf numFmtId="41" fontId="7" fillId="0" borderId="2" xfId="0" applyNumberFormat="1" applyFont="1" applyBorder="1" applyAlignment="1">
      <alignment vertical="center"/>
    </xf>
    <xf numFmtId="0" fontId="21" fillId="0" borderId="2" xfId="0" applyFont="1" applyBorder="1" applyAlignment="1">
      <alignment vertical="center" wrapText="1"/>
    </xf>
    <xf numFmtId="0" fontId="21" fillId="0" borderId="2" xfId="0" applyFont="1" applyBorder="1" applyAlignment="1">
      <alignment horizontal="center" vertical="center" wrapText="1"/>
    </xf>
    <xf numFmtId="41" fontId="7" fillId="0" borderId="2" xfId="7" applyNumberFormat="1" applyFont="1" applyBorder="1" applyAlignment="1">
      <alignment vertical="center" wrapText="1"/>
    </xf>
    <xf numFmtId="0" fontId="25" fillId="0" borderId="2" xfId="0" applyFont="1" applyBorder="1" applyAlignment="1">
      <alignment horizontal="center" vertical="center" wrapText="1"/>
    </xf>
    <xf numFmtId="0" fontId="20" fillId="0" borderId="0" xfId="0" applyFont="1" applyAlignment="1">
      <alignment horizontal="center" vertical="center" wrapText="1"/>
    </xf>
    <xf numFmtId="0" fontId="100" fillId="0" borderId="0" xfId="0" applyFont="1" applyAlignment="1">
      <alignment horizontal="center" vertical="center" wrapText="1"/>
    </xf>
    <xf numFmtId="0" fontId="24" fillId="0" borderId="0" xfId="0" applyFont="1" applyAlignment="1">
      <alignment horizontal="right" vertical="center" wrapText="1"/>
    </xf>
    <xf numFmtId="0" fontId="25" fillId="0" borderId="0" xfId="0" applyFont="1" applyAlignment="1">
      <alignment horizontal="center" vertical="center" wrapText="1"/>
    </xf>
    <xf numFmtId="169" fontId="28" fillId="0" borderId="0" xfId="0" applyNumberFormat="1" applyFont="1" applyAlignment="1">
      <alignment horizontal="center" vertical="center" wrapText="1"/>
    </xf>
    <xf numFmtId="0" fontId="29" fillId="0" borderId="2" xfId="0" applyFont="1" applyBorder="1" applyAlignment="1">
      <alignment horizontal="center" vertical="center" wrapText="1"/>
    </xf>
    <xf numFmtId="1" fontId="29" fillId="0" borderId="2" xfId="3" applyNumberFormat="1" applyFont="1" applyBorder="1" applyAlignment="1">
      <alignment vertical="center" wrapText="1"/>
    </xf>
    <xf numFmtId="0" fontId="29" fillId="0" borderId="0" xfId="0" applyFont="1" applyAlignment="1">
      <alignment vertical="center" wrapText="1"/>
    </xf>
    <xf numFmtId="0" fontId="25" fillId="0" borderId="0" xfId="0" applyFont="1" applyAlignment="1">
      <alignment vertical="center" wrapText="1"/>
    </xf>
    <xf numFmtId="1" fontId="25" fillId="0" borderId="2" xfId="3" applyNumberFormat="1" applyFont="1" applyBorder="1" applyAlignment="1">
      <alignment horizontal="center" vertical="center" wrapText="1"/>
    </xf>
    <xf numFmtId="41" fontId="25" fillId="0" borderId="0" xfId="0" applyNumberFormat="1" applyFont="1" applyAlignment="1">
      <alignment vertical="center" wrapText="1"/>
    </xf>
    <xf numFmtId="1" fontId="21" fillId="0" borderId="2" xfId="3" applyNumberFormat="1" applyFont="1" applyBorder="1" applyAlignment="1">
      <alignment vertical="center" wrapText="1"/>
    </xf>
    <xf numFmtId="41" fontId="21" fillId="0" borderId="2" xfId="0" applyNumberFormat="1" applyFont="1" applyBorder="1" applyAlignment="1">
      <alignment vertical="center" wrapText="1"/>
    </xf>
    <xf numFmtId="0" fontId="26" fillId="0" borderId="0" xfId="0" applyFont="1" applyAlignment="1">
      <alignment horizontal="center" vertical="center" wrapText="1"/>
    </xf>
    <xf numFmtId="41" fontId="21" fillId="0" borderId="2" xfId="1" applyNumberFormat="1" applyFont="1" applyFill="1" applyBorder="1" applyAlignment="1">
      <alignment vertical="center" wrapText="1"/>
    </xf>
    <xf numFmtId="1" fontId="26" fillId="0" borderId="2" xfId="3" applyNumberFormat="1" applyFont="1" applyBorder="1" applyAlignment="1">
      <alignment horizontal="center" vertical="center" wrapText="1"/>
    </xf>
    <xf numFmtId="41" fontId="26" fillId="0" borderId="2" xfId="1" applyNumberFormat="1" applyFont="1" applyFill="1" applyBorder="1" applyAlignment="1">
      <alignment horizontal="left" vertical="center" wrapText="1"/>
    </xf>
    <xf numFmtId="0" fontId="26" fillId="0" borderId="0" xfId="0" applyFont="1" applyAlignment="1">
      <alignment vertical="center" wrapText="1"/>
    </xf>
    <xf numFmtId="0" fontId="21" fillId="0" borderId="2" xfId="7" applyFont="1" applyBorder="1" applyAlignment="1">
      <alignment horizontal="center" vertical="center" wrapText="1"/>
    </xf>
    <xf numFmtId="3" fontId="21" fillId="0" borderId="2" xfId="9" applyNumberFormat="1" applyFont="1" applyBorder="1" applyAlignment="1">
      <alignment horizontal="center" vertical="center" wrapText="1"/>
    </xf>
    <xf numFmtId="41" fontId="28" fillId="0" borderId="2" xfId="1" applyNumberFormat="1" applyFont="1" applyFill="1" applyBorder="1" applyAlignment="1">
      <alignment horizontal="left" vertical="center" wrapText="1"/>
    </xf>
    <xf numFmtId="0" fontId="25" fillId="79" borderId="2" xfId="2" applyFont="1" applyFill="1" applyBorder="1" applyAlignment="1">
      <alignment horizontal="center" vertical="center" wrapText="1"/>
    </xf>
    <xf numFmtId="0" fontId="7" fillId="0" borderId="2" xfId="2" applyFont="1" applyBorder="1" applyAlignment="1">
      <alignment horizontal="center" vertical="center" wrapText="1"/>
    </xf>
    <xf numFmtId="0" fontId="21" fillId="0" borderId="2" xfId="2283" applyFont="1" applyBorder="1" applyAlignment="1">
      <alignment horizontal="center" vertical="center" wrapText="1"/>
    </xf>
    <xf numFmtId="41" fontId="21" fillId="0" borderId="2" xfId="2283" applyNumberFormat="1" applyFont="1" applyBorder="1" applyAlignment="1">
      <alignment vertical="center"/>
    </xf>
    <xf numFmtId="0" fontId="7" fillId="0" borderId="2" xfId="7" applyFont="1" applyBorder="1" applyAlignment="1">
      <alignment horizontal="center" vertical="center" wrapText="1"/>
    </xf>
    <xf numFmtId="41" fontId="104" fillId="0" borderId="2" xfId="27" applyNumberFormat="1" applyFont="1" applyFill="1" applyBorder="1" applyAlignment="1" applyProtection="1">
      <alignment vertical="center"/>
    </xf>
    <xf numFmtId="41" fontId="7" fillId="0" borderId="2" xfId="27" applyNumberFormat="1" applyFont="1" applyFill="1" applyBorder="1" applyAlignment="1" applyProtection="1">
      <alignment vertical="center"/>
    </xf>
    <xf numFmtId="41" fontId="25" fillId="0" borderId="0" xfId="2" applyNumberFormat="1" applyFont="1" applyAlignment="1">
      <alignment horizontal="center" vertical="center" wrapText="1"/>
    </xf>
    <xf numFmtId="0" fontId="26" fillId="0" borderId="2" xfId="0" applyFont="1" applyBorder="1" applyAlignment="1">
      <alignment horizontal="center" vertical="center" wrapText="1"/>
    </xf>
    <xf numFmtId="169" fontId="26" fillId="0" borderId="2" xfId="1" applyNumberFormat="1" applyFont="1" applyFill="1" applyBorder="1" applyAlignment="1">
      <alignment vertical="center"/>
    </xf>
    <xf numFmtId="169" fontId="26" fillId="0" borderId="2" xfId="1" applyNumberFormat="1" applyFont="1" applyFill="1" applyBorder="1" applyAlignment="1">
      <alignment horizontal="center" vertical="center" wrapText="1"/>
    </xf>
    <xf numFmtId="169" fontId="26" fillId="0" borderId="0" xfId="0" applyNumberFormat="1" applyFont="1" applyAlignment="1">
      <alignment horizontal="center" vertical="center" wrapText="1"/>
    </xf>
    <xf numFmtId="0" fontId="99" fillId="0" borderId="0" xfId="0" applyFont="1" applyAlignment="1">
      <alignment vertical="center" wrapText="1"/>
    </xf>
    <xf numFmtId="0" fontId="7" fillId="0" borderId="2" xfId="0" applyFont="1" applyBorder="1" applyAlignment="1">
      <alignment horizontal="left" vertical="center" wrapText="1"/>
    </xf>
    <xf numFmtId="0" fontId="7" fillId="0" borderId="2" xfId="2357" applyFont="1" applyBorder="1" applyAlignment="1">
      <alignment horizontal="center" vertical="center" wrapText="1"/>
    </xf>
    <xf numFmtId="169" fontId="25" fillId="0" borderId="6" xfId="1" applyNumberFormat="1" applyFont="1" applyFill="1" applyBorder="1" applyAlignment="1">
      <alignment vertical="center" wrapText="1"/>
    </xf>
    <xf numFmtId="169" fontId="25" fillId="0" borderId="7" xfId="1" applyNumberFormat="1" applyFont="1" applyFill="1" applyBorder="1" applyAlignment="1">
      <alignment vertical="center" wrapText="1"/>
    </xf>
    <xf numFmtId="169" fontId="25" fillId="0" borderId="8" xfId="1" applyNumberFormat="1" applyFont="1" applyFill="1" applyBorder="1" applyAlignment="1">
      <alignment vertical="center" wrapText="1"/>
    </xf>
    <xf numFmtId="0" fontId="104" fillId="0" borderId="2" xfId="0" applyFont="1" applyBorder="1" applyAlignment="1">
      <alignment horizontal="center" vertical="center" wrapText="1"/>
    </xf>
    <xf numFmtId="0" fontId="104" fillId="0" borderId="2" xfId="30" applyFont="1" applyBorder="1" applyAlignment="1">
      <alignment horizontal="center" vertical="center" wrapText="1"/>
    </xf>
    <xf numFmtId="1" fontId="104" fillId="0" borderId="2" xfId="3" applyNumberFormat="1" applyFont="1" applyBorder="1" applyAlignment="1">
      <alignment horizontal="center" vertical="center" wrapText="1"/>
    </xf>
    <xf numFmtId="0" fontId="7" fillId="0" borderId="2" xfId="30" applyFont="1" applyBorder="1" applyAlignment="1">
      <alignment vertical="center" wrapText="1"/>
    </xf>
    <xf numFmtId="49" fontId="21" fillId="0" borderId="2" xfId="2283" applyNumberFormat="1" applyFont="1" applyBorder="1" applyAlignment="1">
      <alignment horizontal="center" vertical="center" wrapText="1"/>
    </xf>
    <xf numFmtId="0" fontId="7" fillId="0" borderId="2" xfId="2296" applyFont="1" applyBorder="1" applyAlignment="1">
      <alignment horizontal="center" vertical="center" wrapText="1"/>
    </xf>
    <xf numFmtId="0" fontId="105" fillId="0" borderId="2" xfId="30" applyFont="1" applyBorder="1" applyAlignment="1">
      <alignment horizontal="center" vertical="center" wrapText="1"/>
    </xf>
    <xf numFmtId="0" fontId="105" fillId="0" borderId="2" xfId="30" applyFont="1" applyBorder="1" applyAlignment="1">
      <alignment vertical="center" wrapText="1"/>
    </xf>
    <xf numFmtId="0" fontId="105" fillId="0" borderId="2" xfId="30" applyFont="1" applyBorder="1" applyAlignment="1">
      <alignment horizontal="left" vertical="center" wrapText="1"/>
    </xf>
    <xf numFmtId="0" fontId="105" fillId="0" borderId="0" xfId="30" applyFont="1" applyAlignment="1">
      <alignment horizontal="left" vertical="center" wrapText="1"/>
    </xf>
    <xf numFmtId="0" fontId="105" fillId="0" borderId="0" xfId="30" applyFont="1" applyAlignment="1">
      <alignment horizontal="center" vertical="center" wrapText="1"/>
    </xf>
    <xf numFmtId="0" fontId="105" fillId="0" borderId="0" xfId="30" applyFont="1" applyAlignment="1">
      <alignment vertical="center" wrapText="1"/>
    </xf>
    <xf numFmtId="0" fontId="115" fillId="0" borderId="2" xfId="7" applyFont="1" applyBorder="1" applyAlignment="1">
      <alignment horizontal="center" vertical="center" wrapText="1"/>
    </xf>
    <xf numFmtId="0" fontId="25" fillId="0" borderId="0" xfId="30" applyFont="1" applyAlignment="1">
      <alignment vertical="center" wrapText="1"/>
    </xf>
    <xf numFmtId="0" fontId="28" fillId="0" borderId="0" xfId="30" applyFont="1" applyAlignment="1">
      <alignment vertical="center" wrapText="1"/>
    </xf>
    <xf numFmtId="0" fontId="24" fillId="0" borderId="2" xfId="30" applyFont="1" applyBorder="1" applyAlignment="1">
      <alignment horizontal="left" vertical="center" wrapText="1"/>
    </xf>
    <xf numFmtId="41" fontId="25" fillId="0" borderId="2" xfId="7" applyNumberFormat="1" applyFont="1" applyBorder="1" applyAlignment="1">
      <alignment vertical="center"/>
    </xf>
    <xf numFmtId="3" fontId="21" fillId="79" borderId="2" xfId="3" applyNumberFormat="1" applyFont="1" applyFill="1" applyBorder="1" applyAlignment="1">
      <alignment horizontal="center" vertical="center" wrapText="1"/>
    </xf>
    <xf numFmtId="49" fontId="21" fillId="0" borderId="2" xfId="6174" applyNumberFormat="1" applyFont="1" applyBorder="1" applyAlignment="1">
      <alignment horizontal="center" vertical="center" wrapText="1"/>
    </xf>
    <xf numFmtId="0" fontId="21" fillId="0" borderId="2" xfId="6174" applyFont="1" applyBorder="1" applyAlignment="1">
      <alignment horizontal="center" vertical="center" wrapText="1"/>
    </xf>
    <xf numFmtId="41" fontId="21" fillId="0" borderId="2" xfId="6174" applyNumberFormat="1" applyFont="1" applyBorder="1" applyAlignment="1">
      <alignment vertical="center"/>
    </xf>
    <xf numFmtId="0" fontId="21" fillId="79" borderId="2" xfId="6174" applyFont="1" applyFill="1" applyBorder="1" applyAlignment="1">
      <alignment horizontal="center" vertical="center" wrapText="1"/>
    </xf>
    <xf numFmtId="0" fontId="7" fillId="0" borderId="2" xfId="30" applyFont="1" applyBorder="1" applyAlignment="1">
      <alignment horizontal="left" vertical="center" wrapText="1"/>
    </xf>
    <xf numFmtId="166" fontId="21" fillId="0" borderId="2" xfId="1" applyNumberFormat="1" applyFont="1" applyFill="1" applyBorder="1" applyAlignment="1">
      <alignment horizontal="center" vertical="center" wrapText="1"/>
    </xf>
    <xf numFmtId="41" fontId="24" fillId="0" borderId="1" xfId="2" applyNumberFormat="1" applyFont="1" applyBorder="1" applyAlignment="1">
      <alignment horizontal="right" vertical="center" wrapText="1"/>
    </xf>
    <xf numFmtId="0" fontId="27" fillId="0" borderId="2" xfId="2" applyFont="1" applyBorder="1" applyAlignment="1">
      <alignment horizontal="center" vertical="center" wrapText="1"/>
    </xf>
    <xf numFmtId="0" fontId="25" fillId="0" borderId="2" xfId="4" applyFont="1" applyBorder="1" applyAlignment="1">
      <alignment vertical="center" wrapText="1"/>
    </xf>
    <xf numFmtId="41" fontId="25" fillId="0" borderId="2" xfId="2" applyNumberFormat="1" applyFont="1" applyBorder="1" applyAlignment="1">
      <alignment vertical="center" wrapText="1"/>
    </xf>
    <xf numFmtId="41" fontId="29" fillId="0" borderId="2" xfId="2" applyNumberFormat="1" applyFont="1" applyBorder="1" applyAlignment="1">
      <alignment vertical="center" wrapText="1"/>
    </xf>
    <xf numFmtId="49" fontId="21" fillId="0" borderId="2" xfId="2" applyNumberFormat="1" applyFont="1" applyBorder="1" applyAlignment="1">
      <alignment horizontal="center" vertical="center" wrapText="1"/>
    </xf>
    <xf numFmtId="0" fontId="21" fillId="0" borderId="2" xfId="6" applyFont="1" applyBorder="1" applyAlignment="1">
      <alignment horizontal="center" vertical="center" wrapText="1"/>
    </xf>
    <xf numFmtId="41" fontId="21" fillId="0" borderId="2" xfId="0" applyNumberFormat="1" applyFont="1" applyBorder="1" applyAlignment="1">
      <alignment horizontal="left" vertical="center" wrapText="1"/>
    </xf>
    <xf numFmtId="0" fontId="21" fillId="0" borderId="2" xfId="5" applyFont="1" applyBorder="1" applyAlignment="1">
      <alignment horizontal="center" vertical="center" wrapText="1"/>
    </xf>
    <xf numFmtId="3" fontId="7" fillId="0" borderId="2" xfId="9" applyNumberFormat="1" applyFont="1" applyBorder="1" applyAlignment="1">
      <alignment horizontal="center" vertical="center" wrapText="1"/>
    </xf>
    <xf numFmtId="0" fontId="21" fillId="0" borderId="2" xfId="2" applyFont="1" applyBorder="1" applyAlignment="1">
      <alignment horizontal="left" vertical="center" wrapText="1"/>
    </xf>
    <xf numFmtId="41" fontId="7" fillId="0" borderId="5" xfId="0" applyNumberFormat="1" applyFont="1" applyBorder="1" applyAlignment="1">
      <alignment vertical="center"/>
    </xf>
    <xf numFmtId="41" fontId="7" fillId="0" borderId="2" xfId="0" applyNumberFormat="1" applyFont="1" applyBorder="1" applyAlignment="1">
      <alignment vertical="center" wrapText="1"/>
    </xf>
    <xf numFmtId="41" fontId="21" fillId="0" borderId="5" xfId="7" applyNumberFormat="1" applyFont="1" applyBorder="1" applyAlignment="1">
      <alignment vertical="center"/>
    </xf>
    <xf numFmtId="41" fontId="21" fillId="0" borderId="5" xfId="2" applyNumberFormat="1" applyFont="1" applyBorder="1" applyAlignment="1">
      <alignment vertical="center"/>
    </xf>
    <xf numFmtId="170" fontId="21" fillId="0" borderId="2" xfId="2" applyNumberFormat="1" applyFont="1" applyBorder="1" applyAlignment="1">
      <alignment horizontal="left" vertical="center" wrapText="1"/>
    </xf>
    <xf numFmtId="0" fontId="7" fillId="0" borderId="2" xfId="5" applyFont="1" applyBorder="1" applyAlignment="1">
      <alignment horizontal="center" vertical="center" wrapText="1"/>
    </xf>
    <xf numFmtId="0" fontId="25" fillId="0" borderId="7" xfId="2" applyFont="1" applyBorder="1" applyAlignment="1">
      <alignment vertical="center" wrapText="1"/>
    </xf>
    <xf numFmtId="0" fontId="25" fillId="0" borderId="8" xfId="2" applyFont="1" applyBorder="1" applyAlignment="1">
      <alignment vertical="center" wrapText="1"/>
    </xf>
    <xf numFmtId="0" fontId="25" fillId="0" borderId="2" xfId="0" applyFont="1" applyBorder="1" applyAlignment="1">
      <alignment horizontal="left" vertical="center" wrapText="1"/>
    </xf>
    <xf numFmtId="169" fontId="25" fillId="0" borderId="2" xfId="1" applyNumberFormat="1" applyFont="1" applyFill="1" applyBorder="1" applyAlignment="1">
      <alignment vertical="center"/>
    </xf>
    <xf numFmtId="0" fontId="104" fillId="0" borderId="2" xfId="2" applyFont="1" applyBorder="1" applyAlignment="1">
      <alignment horizontal="left" vertical="center" wrapText="1"/>
    </xf>
    <xf numFmtId="0" fontId="20" fillId="0" borderId="0" xfId="2" applyFont="1" applyAlignment="1">
      <alignment horizontal="center" vertical="center" wrapText="1"/>
    </xf>
    <xf numFmtId="0" fontId="23" fillId="0" borderId="0" xfId="2" applyFont="1" applyAlignment="1">
      <alignment horizontal="center" vertical="center" wrapText="1"/>
    </xf>
    <xf numFmtId="0" fontId="207" fillId="0" borderId="0" xfId="0" applyFont="1" applyAlignment="1">
      <alignment horizontal="center" vertical="center" wrapText="1"/>
    </xf>
    <xf numFmtId="0" fontId="101" fillId="0" borderId="0" xfId="0" applyFont="1" applyAlignment="1">
      <alignment horizontal="center" vertical="center" wrapText="1"/>
    </xf>
    <xf numFmtId="0" fontId="23" fillId="0" borderId="0" xfId="0" applyFont="1" applyAlignment="1">
      <alignment horizontal="center" vertical="center" wrapText="1"/>
    </xf>
    <xf numFmtId="0" fontId="207" fillId="0" borderId="0" xfId="2" applyFont="1" applyAlignment="1">
      <alignment horizontal="center" vertical="center" wrapText="1"/>
    </xf>
    <xf numFmtId="169" fontId="104" fillId="0" borderId="2" xfId="1" applyNumberFormat="1" applyFont="1" applyFill="1" applyBorder="1" applyAlignment="1">
      <alignment horizontal="center" vertical="center" wrapText="1"/>
    </xf>
    <xf numFmtId="0" fontId="7" fillId="0" borderId="2" xfId="3" applyFont="1" applyBorder="1" applyAlignment="1">
      <alignment horizontal="center" vertical="center" wrapText="1"/>
    </xf>
    <xf numFmtId="41" fontId="21" fillId="0" borderId="0" xfId="1" applyNumberFormat="1" applyFont="1" applyFill="1" applyBorder="1" applyAlignment="1">
      <alignment vertical="center"/>
    </xf>
    <xf numFmtId="0" fontId="24" fillId="0" borderId="0" xfId="2" applyFont="1" applyAlignment="1">
      <alignment horizontal="right" vertical="center" wrapText="1"/>
    </xf>
    <xf numFmtId="41" fontId="28" fillId="0" borderId="0" xfId="1" applyNumberFormat="1" applyFont="1" applyFill="1" applyBorder="1" applyAlignment="1">
      <alignment horizontal="left" vertical="center" wrapText="1"/>
    </xf>
    <xf numFmtId="41" fontId="25" fillId="0" borderId="0" xfId="1" applyNumberFormat="1" applyFont="1" applyFill="1" applyBorder="1" applyAlignment="1">
      <alignment horizontal="right" vertical="center"/>
    </xf>
    <xf numFmtId="41" fontId="28" fillId="0" borderId="0" xfId="1" applyNumberFormat="1" applyFont="1" applyFill="1" applyBorder="1" applyAlignment="1">
      <alignment horizontal="right" vertical="center"/>
    </xf>
    <xf numFmtId="41" fontId="104" fillId="0" borderId="0" xfId="1" applyNumberFormat="1" applyFont="1" applyFill="1" applyBorder="1" applyAlignment="1">
      <alignment horizontal="right" vertical="center"/>
    </xf>
    <xf numFmtId="41" fontId="21" fillId="0" borderId="0" xfId="1" applyNumberFormat="1" applyFont="1" applyFill="1" applyBorder="1" applyAlignment="1">
      <alignment vertical="center" wrapText="1"/>
    </xf>
    <xf numFmtId="41" fontId="25" fillId="0" borderId="0" xfId="1" applyNumberFormat="1" applyFont="1" applyFill="1" applyBorder="1" applyAlignment="1">
      <alignment horizontal="left" vertical="center" wrapText="1"/>
    </xf>
    <xf numFmtId="41" fontId="25" fillId="0" borderId="0" xfId="1" applyNumberFormat="1" applyFont="1" applyFill="1" applyBorder="1" applyAlignment="1">
      <alignment horizontal="left" vertical="center"/>
    </xf>
    <xf numFmtId="169" fontId="26" fillId="0" borderId="0" xfId="1" applyNumberFormat="1" applyFont="1" applyFill="1" applyBorder="1" applyAlignment="1">
      <alignment horizontal="center" vertical="center" wrapText="1"/>
    </xf>
    <xf numFmtId="169" fontId="25" fillId="0" borderId="0" xfId="1" applyNumberFormat="1" applyFont="1" applyFill="1" applyBorder="1" applyAlignment="1">
      <alignment horizontal="center" vertical="center" wrapText="1"/>
    </xf>
    <xf numFmtId="41" fontId="25" fillId="0" borderId="0" xfId="1" applyNumberFormat="1" applyFont="1" applyFill="1" applyBorder="1" applyAlignment="1">
      <alignment vertical="center"/>
    </xf>
    <xf numFmtId="41" fontId="29" fillId="0" borderId="0" xfId="1" applyNumberFormat="1" applyFont="1" applyFill="1" applyBorder="1" applyAlignment="1">
      <alignment vertical="center"/>
    </xf>
    <xf numFmtId="41" fontId="29" fillId="0" borderId="0" xfId="2" applyNumberFormat="1" applyFont="1" applyAlignment="1">
      <alignment vertical="center" wrapText="1"/>
    </xf>
    <xf numFmtId="41" fontId="21" fillId="0" borderId="0" xfId="0" applyNumberFormat="1" applyFont="1" applyAlignment="1">
      <alignment horizontal="left" vertical="center" wrapText="1"/>
    </xf>
    <xf numFmtId="41" fontId="108" fillId="0" borderId="2" xfId="1" applyNumberFormat="1" applyFont="1" applyFill="1" applyBorder="1" applyAlignment="1">
      <alignment horizontal="left" vertical="center" wrapText="1"/>
    </xf>
    <xf numFmtId="0" fontId="123" fillId="0" borderId="0" xfId="30" applyFont="1" applyAlignment="1">
      <alignment vertical="center" wrapText="1"/>
    </xf>
    <xf numFmtId="0" fontId="120" fillId="0" borderId="0" xfId="30" applyFont="1" applyAlignment="1">
      <alignment vertical="center" wrapText="1"/>
    </xf>
    <xf numFmtId="41" fontId="114" fillId="0" borderId="1" xfId="30" applyNumberFormat="1" applyFont="1" applyBorder="1" applyAlignment="1">
      <alignment horizontal="right" vertical="center" wrapText="1"/>
    </xf>
    <xf numFmtId="0" fontId="114" fillId="0" borderId="1" xfId="30" applyFont="1" applyBorder="1" applyAlignment="1">
      <alignment horizontal="right" vertical="center" wrapText="1"/>
    </xf>
    <xf numFmtId="0" fontId="26" fillId="0" borderId="2" xfId="30" applyFont="1" applyBorder="1" applyAlignment="1">
      <alignment horizontal="center" vertical="center" wrapText="1"/>
    </xf>
    <xf numFmtId="0" fontId="26" fillId="0" borderId="2" xfId="30" applyFont="1" applyBorder="1" applyAlignment="1">
      <alignment vertical="center" wrapText="1"/>
    </xf>
    <xf numFmtId="0" fontId="115" fillId="0" borderId="2" xfId="30" applyFont="1" applyBorder="1" applyAlignment="1">
      <alignment horizontal="center" vertical="center" wrapText="1"/>
    </xf>
    <xf numFmtId="49" fontId="7" fillId="0" borderId="2" xfId="68" applyNumberFormat="1" applyFont="1" applyBorder="1" applyAlignment="1">
      <alignment horizontal="center" vertical="center" wrapText="1"/>
    </xf>
    <xf numFmtId="3" fontId="7" fillId="0" borderId="2" xfId="30" applyNumberFormat="1" applyFont="1" applyBorder="1" applyAlignment="1">
      <alignment horizontal="center" vertical="center" wrapText="1"/>
    </xf>
    <xf numFmtId="49" fontId="7" fillId="0" borderId="2" xfId="30" applyNumberFormat="1" applyFont="1" applyBorder="1" applyAlignment="1">
      <alignment horizontal="center" vertical="center" wrapText="1"/>
    </xf>
    <xf numFmtId="41" fontId="21" fillId="0" borderId="8" xfId="1" applyNumberFormat="1" applyFont="1" applyFill="1" applyBorder="1" applyAlignment="1">
      <alignment vertical="center" wrapText="1"/>
    </xf>
    <xf numFmtId="41" fontId="25" fillId="0" borderId="2" xfId="1" applyNumberFormat="1" applyFont="1" applyFill="1" applyBorder="1" applyAlignment="1">
      <alignment horizontal="right" vertical="center" wrapText="1"/>
    </xf>
    <xf numFmtId="41" fontId="25" fillId="0" borderId="8" xfId="1" applyNumberFormat="1" applyFont="1" applyFill="1" applyBorder="1" applyAlignment="1">
      <alignment horizontal="left" vertical="center"/>
    </xf>
    <xf numFmtId="41" fontId="21" fillId="0" borderId="62" xfId="0" applyNumberFormat="1" applyFont="1" applyBorder="1" applyAlignment="1">
      <alignment horizontal="left" vertical="center" wrapText="1"/>
    </xf>
    <xf numFmtId="1" fontId="107" fillId="0" borderId="8" xfId="3" quotePrefix="1" applyNumberFormat="1" applyFont="1" applyBorder="1" applyAlignment="1">
      <alignment horizontal="left" vertical="center" wrapText="1"/>
    </xf>
    <xf numFmtId="41" fontId="7" fillId="0" borderId="8" xfId="1" applyNumberFormat="1" applyFont="1" applyFill="1" applyBorder="1" applyAlignment="1">
      <alignment vertical="center" wrapText="1"/>
    </xf>
    <xf numFmtId="0" fontId="7" fillId="0" borderId="8" xfId="1" applyNumberFormat="1" applyFont="1" applyFill="1" applyBorder="1" applyAlignment="1">
      <alignment vertical="center" wrapText="1"/>
    </xf>
    <xf numFmtId="0" fontId="25" fillId="0" borderId="8" xfId="1" applyNumberFormat="1" applyFont="1" applyFill="1" applyBorder="1" applyAlignment="1">
      <alignment horizontal="left" vertical="center" wrapText="1"/>
    </xf>
    <xf numFmtId="0" fontId="7" fillId="0" borderId="2" xfId="1" applyNumberFormat="1" applyFont="1" applyFill="1" applyBorder="1" applyAlignment="1">
      <alignment vertical="center" wrapText="1"/>
    </xf>
    <xf numFmtId="0" fontId="29" fillId="0" borderId="8" xfId="2" applyFont="1" applyBorder="1" applyAlignment="1">
      <alignment vertical="center" wrapText="1"/>
    </xf>
    <xf numFmtId="0" fontId="21" fillId="0" borderId="8" xfId="0" applyFont="1" applyBorder="1" applyAlignment="1">
      <alignment horizontal="left" vertical="center" wrapText="1"/>
    </xf>
    <xf numFmtId="0" fontId="21" fillId="0" borderId="8" xfId="2" applyFont="1" applyBorder="1" applyAlignment="1">
      <alignment horizontal="left" vertical="center" wrapText="1"/>
    </xf>
    <xf numFmtId="0" fontId="107" fillId="0" borderId="8" xfId="3" quotePrefix="1" applyFont="1" applyBorder="1" applyAlignment="1">
      <alignment horizontal="left" vertical="center" wrapText="1"/>
    </xf>
    <xf numFmtId="0" fontId="21" fillId="0" borderId="8" xfId="2" applyFont="1" applyBorder="1" applyAlignment="1">
      <alignment vertical="center" wrapText="1"/>
    </xf>
    <xf numFmtId="0" fontId="7" fillId="0" borderId="62" xfId="0" applyFont="1" applyBorder="1" applyAlignment="1">
      <alignment horizontal="left" vertical="center" wrapText="1"/>
    </xf>
    <xf numFmtId="41" fontId="7" fillId="0" borderId="2" xfId="1" applyNumberFormat="1" applyFont="1" applyFill="1" applyBorder="1" applyAlignment="1">
      <alignment horizontal="left" vertical="center" wrapText="1"/>
    </xf>
    <xf numFmtId="0" fontId="21" fillId="0" borderId="2" xfId="0" applyFont="1" applyFill="1" applyBorder="1" applyAlignment="1">
      <alignment horizontal="center" vertical="center" wrapText="1"/>
    </xf>
    <xf numFmtId="0" fontId="21" fillId="0" borderId="2" xfId="0" applyFont="1" applyFill="1" applyBorder="1" applyAlignment="1">
      <alignment vertical="center" wrapText="1"/>
    </xf>
    <xf numFmtId="3" fontId="21" fillId="0" borderId="2" xfId="3" applyNumberFormat="1" applyFont="1" applyFill="1" applyBorder="1" applyAlignment="1">
      <alignment horizontal="center" vertical="center" wrapText="1"/>
    </xf>
    <xf numFmtId="0" fontId="21" fillId="0" borderId="2" xfId="7" applyFont="1" applyFill="1" applyBorder="1" applyAlignment="1">
      <alignment horizontal="center" vertical="center" wrapText="1"/>
    </xf>
    <xf numFmtId="41" fontId="21" fillId="0" borderId="2" xfId="7" applyNumberFormat="1" applyFont="1" applyFill="1" applyBorder="1" applyAlignment="1">
      <alignment vertical="center"/>
    </xf>
    <xf numFmtId="41" fontId="21" fillId="0" borderId="2" xfId="2" applyNumberFormat="1" applyFont="1" applyFill="1" applyBorder="1" applyAlignment="1">
      <alignment vertical="center"/>
    </xf>
    <xf numFmtId="169" fontId="28" fillId="0" borderId="0" xfId="0" applyNumberFormat="1" applyFont="1" applyFill="1" applyAlignment="1">
      <alignment horizontal="center" vertical="center" wrapText="1"/>
    </xf>
    <xf numFmtId="41" fontId="25" fillId="0" borderId="0" xfId="0" applyNumberFormat="1" applyFont="1" applyFill="1" applyAlignment="1">
      <alignment vertical="center" wrapText="1"/>
    </xf>
    <xf numFmtId="0" fontId="25" fillId="0" borderId="0" xfId="0" applyFont="1" applyFill="1" applyAlignment="1">
      <alignment vertical="center" wrapText="1"/>
    </xf>
    <xf numFmtId="41" fontId="21" fillId="0" borderId="0" xfId="0" applyNumberFormat="1" applyFont="1" applyFill="1" applyAlignment="1">
      <alignment vertical="center" wrapText="1"/>
    </xf>
    <xf numFmtId="169" fontId="25" fillId="0" borderId="2" xfId="1" applyNumberFormat="1" applyFont="1" applyFill="1" applyBorder="1" applyAlignment="1">
      <alignment horizontal="center" vertical="center" wrapText="1"/>
    </xf>
    <xf numFmtId="0" fontId="25" fillId="0" borderId="2" xfId="2" applyFont="1" applyBorder="1" applyAlignment="1">
      <alignment horizontal="center" vertical="center" wrapText="1"/>
    </xf>
    <xf numFmtId="0" fontId="20" fillId="0" borderId="0" xfId="2" applyFont="1" applyFill="1" applyAlignment="1">
      <alignment horizontal="center" vertical="center" wrapText="1"/>
    </xf>
    <xf numFmtId="0" fontId="21" fillId="0" borderId="0" xfId="2" applyFont="1" applyFill="1" applyAlignment="1">
      <alignment vertical="center" wrapText="1"/>
    </xf>
    <xf numFmtId="0" fontId="21" fillId="0" borderId="0" xfId="2" applyFont="1" applyFill="1" applyAlignment="1">
      <alignment horizontal="center" vertical="center" wrapText="1"/>
    </xf>
    <xf numFmtId="0" fontId="22" fillId="0" borderId="0" xfId="2" applyFont="1" applyFill="1" applyAlignment="1">
      <alignment horizontal="center" vertical="center" wrapText="1"/>
    </xf>
    <xf numFmtId="0" fontId="121" fillId="0" borderId="0" xfId="2" applyFont="1" applyFill="1" applyAlignment="1">
      <alignment horizontal="center" vertical="center" wrapText="1"/>
    </xf>
    <xf numFmtId="0" fontId="24" fillId="0" borderId="1" xfId="2" applyFont="1" applyFill="1" applyBorder="1" applyAlignment="1">
      <alignment horizontal="right" vertical="center" wrapText="1"/>
    </xf>
    <xf numFmtId="0" fontId="24" fillId="0" borderId="0" xfId="2" applyFont="1" applyFill="1" applyAlignment="1">
      <alignment horizontal="right" vertical="center" wrapText="1"/>
    </xf>
    <xf numFmtId="0" fontId="25" fillId="0" borderId="0" xfId="2" applyFont="1" applyFill="1" applyAlignment="1">
      <alignment horizontal="center" vertical="center" wrapText="1"/>
    </xf>
    <xf numFmtId="0" fontId="21" fillId="0" borderId="0" xfId="0" applyFont="1" applyFill="1" applyAlignment="1">
      <alignment horizontal="center" vertical="center" wrapText="1"/>
    </xf>
    <xf numFmtId="0" fontId="21" fillId="0" borderId="0" xfId="0" applyFont="1" applyFill="1" applyAlignment="1">
      <alignment vertical="center" wrapText="1"/>
    </xf>
    <xf numFmtId="0" fontId="25" fillId="0" borderId="2" xfId="2" applyFont="1" applyFill="1" applyBorder="1" applyAlignment="1">
      <alignment horizontal="center" vertical="center" wrapText="1"/>
    </xf>
    <xf numFmtId="41" fontId="21" fillId="0" borderId="0" xfId="2" applyNumberFormat="1" applyFont="1" applyFill="1" applyAlignment="1">
      <alignment vertical="center" wrapText="1"/>
    </xf>
    <xf numFmtId="0" fontId="28" fillId="0" borderId="2" xfId="2" applyFont="1" applyFill="1" applyBorder="1" applyAlignment="1">
      <alignment horizontal="center" vertical="center" wrapText="1"/>
    </xf>
    <xf numFmtId="1" fontId="28" fillId="0" borderId="2" xfId="3" applyNumberFormat="1" applyFont="1" applyFill="1" applyBorder="1" applyAlignment="1">
      <alignment horizontal="center" vertical="center" wrapText="1"/>
    </xf>
    <xf numFmtId="41" fontId="28" fillId="0" borderId="2" xfId="2" applyNumberFormat="1" applyFont="1" applyFill="1" applyBorder="1" applyAlignment="1">
      <alignment vertical="center"/>
    </xf>
    <xf numFmtId="41" fontId="28" fillId="0" borderId="0" xfId="2" applyNumberFormat="1" applyFont="1" applyFill="1" applyAlignment="1">
      <alignment vertical="center" wrapText="1"/>
    </xf>
    <xf numFmtId="0" fontId="108" fillId="0" borderId="0" xfId="0" applyFont="1" applyFill="1" applyAlignment="1">
      <alignment horizontal="center" vertical="center" wrapText="1"/>
    </xf>
    <xf numFmtId="0" fontId="108" fillId="0" borderId="0" xfId="0" applyFont="1" applyFill="1" applyAlignment="1">
      <alignment vertical="center" wrapText="1"/>
    </xf>
    <xf numFmtId="0" fontId="28" fillId="0" borderId="0" xfId="2" applyFont="1" applyFill="1" applyAlignment="1">
      <alignment vertical="center" wrapText="1"/>
    </xf>
    <xf numFmtId="1" fontId="25" fillId="0" borderId="2" xfId="3" applyNumberFormat="1" applyFont="1" applyFill="1" applyBorder="1" applyAlignment="1">
      <alignment horizontal="left" vertical="center" wrapText="1"/>
    </xf>
    <xf numFmtId="41" fontId="25" fillId="0" borderId="2" xfId="2" applyNumberFormat="1" applyFont="1" applyFill="1" applyBorder="1" applyAlignment="1">
      <alignment vertical="center"/>
    </xf>
    <xf numFmtId="41" fontId="25" fillId="0" borderId="0" xfId="2" applyNumberFormat="1" applyFont="1" applyFill="1" applyAlignment="1">
      <alignment vertical="center" wrapText="1"/>
    </xf>
    <xf numFmtId="0" fontId="104" fillId="0" borderId="0" xfId="0" applyFont="1" applyFill="1" applyAlignment="1">
      <alignment horizontal="center" vertical="center" wrapText="1"/>
    </xf>
    <xf numFmtId="0" fontId="104" fillId="0" borderId="0" xfId="0" applyFont="1" applyFill="1" applyAlignment="1">
      <alignment vertical="center" wrapText="1"/>
    </xf>
    <xf numFmtId="41" fontId="7" fillId="0" borderId="0" xfId="0" applyNumberFormat="1" applyFont="1" applyFill="1" applyAlignment="1">
      <alignment vertical="center" wrapText="1"/>
    </xf>
    <xf numFmtId="0" fontId="25" fillId="0" borderId="0" xfId="2" applyFont="1" applyFill="1" applyAlignment="1">
      <alignment vertical="center" wrapText="1"/>
    </xf>
    <xf numFmtId="0" fontId="21" fillId="0" borderId="2" xfId="69" applyFont="1" applyFill="1" applyBorder="1" applyAlignment="1">
      <alignment horizontal="left" vertical="center" wrapText="1"/>
    </xf>
    <xf numFmtId="41" fontId="7" fillId="0" borderId="2" xfId="2" applyNumberFormat="1" applyFont="1" applyFill="1" applyBorder="1" applyAlignment="1">
      <alignment vertical="center"/>
    </xf>
    <xf numFmtId="0" fontId="7" fillId="0" borderId="0" xfId="0" applyFont="1" applyFill="1" applyAlignment="1">
      <alignment vertical="center" wrapText="1"/>
    </xf>
    <xf numFmtId="0" fontId="28" fillId="0" borderId="0" xfId="2" applyFont="1" applyFill="1" applyAlignment="1">
      <alignment horizontal="center" vertical="center" wrapText="1"/>
    </xf>
    <xf numFmtId="0" fontId="104" fillId="0" borderId="2" xfId="2" applyFont="1" applyFill="1" applyBorder="1" applyAlignment="1">
      <alignment horizontal="center" vertical="center" wrapText="1"/>
    </xf>
    <xf numFmtId="1" fontId="104" fillId="0" borderId="2" xfId="3" applyNumberFormat="1" applyFont="1" applyFill="1" applyBorder="1" applyAlignment="1">
      <alignment horizontal="left" vertical="center" wrapText="1"/>
    </xf>
    <xf numFmtId="41" fontId="104" fillId="0" borderId="2" xfId="2" applyNumberFormat="1" applyFont="1" applyFill="1" applyBorder="1" applyAlignment="1">
      <alignment vertical="center"/>
    </xf>
    <xf numFmtId="41" fontId="204" fillId="0" borderId="2" xfId="0" applyNumberFormat="1" applyFont="1" applyFill="1" applyBorder="1" applyAlignment="1">
      <alignment vertical="center"/>
    </xf>
    <xf numFmtId="0" fontId="104" fillId="0" borderId="0" xfId="2" applyFont="1" applyFill="1" applyAlignment="1">
      <alignment horizontal="center" vertical="center" wrapText="1"/>
    </xf>
    <xf numFmtId="0" fontId="104" fillId="0" borderId="0" xfId="2" applyFont="1" applyFill="1" applyAlignment="1">
      <alignment vertical="center" wrapText="1"/>
    </xf>
    <xf numFmtId="0" fontId="29" fillId="0" borderId="2" xfId="2" applyFont="1" applyFill="1" applyBorder="1" applyAlignment="1">
      <alignment horizontal="center" vertical="center" wrapText="1"/>
    </xf>
    <xf numFmtId="0" fontId="29" fillId="0" borderId="2" xfId="2" applyFont="1" applyFill="1" applyBorder="1" applyAlignment="1">
      <alignment vertical="center" wrapText="1"/>
    </xf>
    <xf numFmtId="41" fontId="29" fillId="0" borderId="2" xfId="2" applyNumberFormat="1" applyFont="1" applyFill="1" applyBorder="1" applyAlignment="1">
      <alignment vertical="center"/>
    </xf>
    <xf numFmtId="0" fontId="29" fillId="0" borderId="2" xfId="2" applyFont="1" applyFill="1" applyBorder="1" applyAlignment="1">
      <alignment horizontal="left" vertical="center" wrapText="1"/>
    </xf>
    <xf numFmtId="0" fontId="29" fillId="0" borderId="0" xfId="2" applyFont="1" applyFill="1" applyAlignment="1">
      <alignment horizontal="left" vertical="center" wrapText="1"/>
    </xf>
    <xf numFmtId="0" fontId="35" fillId="0" borderId="0" xfId="2" applyFont="1" applyFill="1" applyAlignment="1">
      <alignment horizontal="center" vertical="center" wrapText="1"/>
    </xf>
    <xf numFmtId="0" fontId="35" fillId="0" borderId="0" xfId="2" applyFont="1" applyFill="1" applyAlignment="1">
      <alignment vertical="center" wrapText="1"/>
    </xf>
    <xf numFmtId="0" fontId="21" fillId="0" borderId="2" xfId="2" applyFont="1" applyFill="1" applyBorder="1" applyAlignment="1">
      <alignment horizontal="center" vertical="center" wrapText="1"/>
    </xf>
    <xf numFmtId="0" fontId="98" fillId="0" borderId="2" xfId="2" applyFont="1" applyFill="1" applyBorder="1" applyAlignment="1">
      <alignment vertical="center" wrapText="1"/>
    </xf>
    <xf numFmtId="49" fontId="7" fillId="0" borderId="2" xfId="2600" applyNumberFormat="1" applyFont="1" applyFill="1" applyBorder="1" applyAlignment="1">
      <alignment horizontal="center" vertical="center" wrapText="1"/>
    </xf>
    <xf numFmtId="0" fontId="7" fillId="0" borderId="2" xfId="68" applyFont="1" applyFill="1" applyBorder="1" applyAlignment="1">
      <alignment horizontal="center" vertical="center" wrapText="1"/>
    </xf>
    <xf numFmtId="3" fontId="7" fillId="0" borderId="2" xfId="3" applyNumberFormat="1" applyFont="1" applyFill="1" applyBorder="1" applyAlignment="1">
      <alignment horizontal="center" vertical="center" wrapText="1"/>
    </xf>
    <xf numFmtId="0" fontId="7" fillId="0" borderId="2" xfId="7" applyFont="1" applyFill="1" applyBorder="1" applyAlignment="1">
      <alignment horizontal="center" vertical="center" wrapText="1"/>
    </xf>
    <xf numFmtId="41" fontId="7" fillId="0" borderId="2" xfId="7" applyNumberFormat="1" applyFont="1" applyFill="1" applyBorder="1" applyAlignment="1">
      <alignment vertical="center"/>
    </xf>
    <xf numFmtId="49" fontId="21" fillId="0" borderId="2" xfId="7" applyNumberFormat="1" applyFont="1" applyFill="1" applyBorder="1" applyAlignment="1">
      <alignment vertical="center" wrapText="1"/>
    </xf>
    <xf numFmtId="49" fontId="7" fillId="0" borderId="8" xfId="7" applyNumberFormat="1" applyFont="1" applyFill="1" applyBorder="1" applyAlignment="1">
      <alignment vertical="center" wrapText="1"/>
    </xf>
    <xf numFmtId="49" fontId="21" fillId="0" borderId="8" xfId="7" applyNumberFormat="1" applyFont="1" applyFill="1" applyBorder="1" applyAlignment="1">
      <alignment vertical="center" wrapText="1"/>
    </xf>
    <xf numFmtId="0" fontId="7" fillId="0" borderId="2" xfId="3" applyFont="1" applyFill="1" applyBorder="1" applyAlignment="1">
      <alignment horizontal="center" vertical="center" wrapText="1"/>
    </xf>
    <xf numFmtId="178" fontId="7" fillId="0" borderId="2" xfId="3" applyNumberFormat="1" applyFont="1" applyFill="1" applyBorder="1" applyAlignment="1">
      <alignment horizontal="right" vertical="center"/>
    </xf>
    <xf numFmtId="49" fontId="21" fillId="0" borderId="2" xfId="7" applyNumberFormat="1" applyFont="1" applyFill="1" applyBorder="1" applyAlignment="1">
      <alignment horizontal="left" vertical="center" wrapText="1"/>
    </xf>
    <xf numFmtId="49" fontId="21" fillId="0" borderId="0" xfId="7" applyNumberFormat="1" applyFont="1" applyFill="1" applyAlignment="1">
      <alignment horizontal="left" vertical="center" wrapText="1"/>
    </xf>
    <xf numFmtId="0" fontId="7" fillId="0" borderId="2" xfId="2" applyFont="1" applyFill="1" applyBorder="1" applyAlignment="1">
      <alignment horizontal="center" vertical="center" wrapText="1"/>
    </xf>
    <xf numFmtId="1" fontId="7" fillId="0" borderId="2" xfId="3" applyNumberFormat="1" applyFont="1" applyFill="1" applyBorder="1" applyAlignment="1">
      <alignment horizontal="center" vertical="center" wrapText="1"/>
    </xf>
    <xf numFmtId="49" fontId="21" fillId="0" borderId="0" xfId="7" applyNumberFormat="1" applyFont="1" applyFill="1" applyAlignment="1">
      <alignment vertical="center" wrapText="1"/>
    </xf>
    <xf numFmtId="3" fontId="103" fillId="0" borderId="2" xfId="3" applyNumberFormat="1" applyFont="1" applyFill="1" applyBorder="1" applyAlignment="1">
      <alignment horizontal="center" vertical="center" wrapText="1"/>
    </xf>
    <xf numFmtId="0" fontId="103" fillId="0" borderId="2" xfId="7" applyFont="1" applyFill="1" applyBorder="1" applyAlignment="1">
      <alignment horizontal="center" vertical="center" wrapText="1"/>
    </xf>
    <xf numFmtId="41" fontId="103" fillId="0" borderId="2" xfId="7" applyNumberFormat="1" applyFont="1" applyFill="1" applyBorder="1" applyAlignment="1">
      <alignment vertical="center"/>
    </xf>
    <xf numFmtId="41" fontId="111" fillId="0" borderId="2" xfId="7" applyNumberFormat="1" applyFont="1" applyFill="1" applyBorder="1" applyAlignment="1">
      <alignment vertical="center"/>
    </xf>
    <xf numFmtId="0" fontId="7" fillId="0" borderId="2" xfId="1377" applyFont="1" applyFill="1" applyBorder="1" applyAlignment="1">
      <alignment horizontal="center" vertical="center" wrapText="1"/>
    </xf>
    <xf numFmtId="41" fontId="7" fillId="0" borderId="2" xfId="0" applyNumberFormat="1" applyFont="1" applyFill="1" applyBorder="1" applyAlignment="1">
      <alignment vertical="center"/>
    </xf>
    <xf numFmtId="3" fontId="7" fillId="0" borderId="2" xfId="9" applyNumberFormat="1" applyFont="1" applyFill="1" applyBorder="1" applyAlignment="1">
      <alignment horizontal="center" vertical="center" wrapText="1"/>
    </xf>
    <xf numFmtId="0" fontId="21" fillId="0" borderId="2" xfId="2" applyFont="1" applyFill="1" applyBorder="1" applyAlignment="1">
      <alignment vertical="center" wrapText="1"/>
    </xf>
    <xf numFmtId="41" fontId="21" fillId="0" borderId="2" xfId="0" applyNumberFormat="1" applyFont="1" applyFill="1" applyBorder="1" applyAlignment="1">
      <alignment vertical="center"/>
    </xf>
    <xf numFmtId="0" fontId="29" fillId="0" borderId="8" xfId="2" applyFont="1" applyFill="1" applyBorder="1" applyAlignment="1">
      <alignment horizontal="left" vertical="center" wrapText="1"/>
    </xf>
    <xf numFmtId="0" fontId="7" fillId="0" borderId="2" xfId="2715" applyFont="1" applyFill="1" applyBorder="1" applyAlignment="1">
      <alignment horizontal="center" vertical="center" wrapText="1"/>
    </xf>
    <xf numFmtId="49" fontId="7" fillId="0" borderId="2" xfId="2597" applyNumberFormat="1" applyFont="1" applyFill="1" applyBorder="1" applyAlignment="1">
      <alignment horizontal="center" vertical="center" wrapText="1"/>
    </xf>
    <xf numFmtId="0" fontId="7" fillId="0" borderId="2" xfId="2323" applyFont="1" applyFill="1" applyBorder="1" applyAlignment="1">
      <alignment horizontal="center" vertical="center" wrapText="1"/>
    </xf>
    <xf numFmtId="41" fontId="7" fillId="0" borderId="2" xfId="2323" applyNumberFormat="1" applyFont="1" applyFill="1" applyBorder="1" applyAlignment="1">
      <alignment vertical="center"/>
    </xf>
    <xf numFmtId="41" fontId="21" fillId="0" borderId="2" xfId="2323" applyNumberFormat="1" applyFont="1" applyFill="1" applyBorder="1" applyAlignment="1">
      <alignment vertical="center"/>
    </xf>
    <xf numFmtId="0" fontId="7" fillId="0" borderId="2" xfId="0" applyFont="1" applyFill="1" applyBorder="1" applyAlignment="1">
      <alignment horizontal="justify" vertical="center" wrapText="1"/>
    </xf>
    <xf numFmtId="0" fontId="7" fillId="0" borderId="2" xfId="0" applyFont="1" applyFill="1" applyBorder="1" applyAlignment="1">
      <alignment horizontal="center" vertical="center" wrapText="1"/>
    </xf>
    <xf numFmtId="0" fontId="7" fillId="0" borderId="2" xfId="68" applyFont="1" applyFill="1" applyBorder="1" applyAlignment="1">
      <alignment vertical="center" wrapText="1"/>
    </xf>
    <xf numFmtId="0" fontId="7" fillId="0" borderId="2" xfId="2618" applyFont="1" applyFill="1" applyBorder="1" applyAlignment="1">
      <alignment horizontal="center" vertical="center" wrapText="1"/>
    </xf>
    <xf numFmtId="232" fontId="98" fillId="0" borderId="2" xfId="2" applyNumberFormat="1" applyFont="1" applyFill="1" applyBorder="1" applyAlignment="1">
      <alignment vertical="center"/>
    </xf>
    <xf numFmtId="3" fontId="21" fillId="0" borderId="2" xfId="9" applyNumberFormat="1" applyFont="1" applyFill="1" applyBorder="1" applyAlignment="1">
      <alignment horizontal="center" vertical="center" wrapText="1"/>
    </xf>
    <xf numFmtId="232" fontId="112" fillId="0" borderId="2" xfId="2" applyNumberFormat="1" applyFont="1" applyFill="1" applyBorder="1" applyAlignment="1">
      <alignment vertical="center"/>
    </xf>
    <xf numFmtId="0" fontId="7" fillId="0" borderId="0" xfId="0" applyFont="1" applyFill="1" applyAlignment="1">
      <alignment horizontal="center" vertical="center" wrapText="1"/>
    </xf>
    <xf numFmtId="1" fontId="7" fillId="0" borderId="2" xfId="3" applyNumberFormat="1" applyFont="1" applyFill="1" applyBorder="1" applyAlignment="1">
      <alignment horizontal="left" vertical="center" wrapText="1"/>
    </xf>
    <xf numFmtId="41" fontId="7" fillId="0" borderId="0" xfId="2" applyNumberFormat="1" applyFont="1" applyFill="1" applyAlignment="1">
      <alignment vertical="center" wrapText="1"/>
    </xf>
    <xf numFmtId="0" fontId="117" fillId="0" borderId="0" xfId="0" applyFont="1" applyFill="1" applyAlignment="1">
      <alignment horizontal="center" vertical="center" wrapText="1"/>
    </xf>
    <xf numFmtId="0" fontId="117" fillId="0" borderId="0" xfId="0" applyFont="1" applyFill="1" applyAlignment="1">
      <alignment vertical="center" wrapText="1"/>
    </xf>
    <xf numFmtId="0" fontId="7" fillId="0" borderId="0" xfId="2" applyFont="1" applyFill="1" applyAlignment="1">
      <alignment vertical="center" wrapText="1"/>
    </xf>
    <xf numFmtId="49" fontId="7" fillId="0" borderId="0" xfId="2600" applyNumberFormat="1" applyFont="1" applyFill="1" applyAlignment="1">
      <alignment horizontal="center" vertical="center" wrapText="1"/>
    </xf>
    <xf numFmtId="0" fontId="7" fillId="0" borderId="0" xfId="68" applyFont="1" applyFill="1" applyAlignment="1">
      <alignment horizontal="center" vertical="center" wrapText="1"/>
    </xf>
    <xf numFmtId="0" fontId="7" fillId="0" borderId="0" xfId="2357" applyFont="1" applyFill="1" applyAlignment="1">
      <alignment horizontal="center" vertical="center" wrapText="1"/>
    </xf>
    <xf numFmtId="3" fontId="7" fillId="0" borderId="0" xfId="3" applyNumberFormat="1" applyFont="1" applyFill="1" applyAlignment="1">
      <alignment horizontal="center" vertical="center" wrapText="1"/>
    </xf>
    <xf numFmtId="0" fontId="21" fillId="0" borderId="0" xfId="7" applyFont="1" applyFill="1" applyAlignment="1">
      <alignment horizontal="center" vertical="center" wrapText="1"/>
    </xf>
    <xf numFmtId="41" fontId="21" fillId="0" borderId="0" xfId="7" applyNumberFormat="1" applyFont="1" applyFill="1" applyAlignment="1">
      <alignment vertical="center" wrapText="1"/>
    </xf>
    <xf numFmtId="41" fontId="7" fillId="0" borderId="0" xfId="7" applyNumberFormat="1" applyFont="1" applyFill="1" applyAlignment="1">
      <alignment vertical="center" wrapText="1"/>
    </xf>
    <xf numFmtId="364" fontId="228" fillId="0" borderId="0" xfId="2" applyNumberFormat="1" applyFont="1" applyFill="1" applyAlignment="1">
      <alignment vertical="center" wrapText="1"/>
    </xf>
    <xf numFmtId="0" fontId="104" fillId="0" borderId="2" xfId="0" applyFont="1" applyFill="1" applyBorder="1" applyAlignment="1">
      <alignment horizontal="center" vertical="center" wrapText="1"/>
    </xf>
    <xf numFmtId="0" fontId="104" fillId="0" borderId="2" xfId="4" applyFont="1" applyFill="1" applyBorder="1" applyAlignment="1">
      <alignment horizontal="left" vertical="center" wrapText="1"/>
    </xf>
    <xf numFmtId="0" fontId="104" fillId="0" borderId="2" xfId="30" applyFont="1" applyFill="1" applyBorder="1" applyAlignment="1">
      <alignment horizontal="center" vertical="center" wrapText="1"/>
    </xf>
    <xf numFmtId="1" fontId="104" fillId="0" borderId="2" xfId="3" applyNumberFormat="1" applyFont="1" applyFill="1" applyBorder="1" applyAlignment="1">
      <alignment horizontal="center" vertical="center" wrapText="1"/>
    </xf>
    <xf numFmtId="41" fontId="104" fillId="0" borderId="2" xfId="30" applyNumberFormat="1" applyFont="1" applyFill="1" applyBorder="1" applyAlignment="1">
      <alignment vertical="center"/>
    </xf>
    <xf numFmtId="0" fontId="206" fillId="0" borderId="2" xfId="30" applyFont="1" applyFill="1" applyBorder="1" applyAlignment="1">
      <alignment horizontal="left" vertical="center" wrapText="1"/>
    </xf>
    <xf numFmtId="0" fontId="206" fillId="0" borderId="0" xfId="30" applyFont="1" applyFill="1" applyAlignment="1">
      <alignment horizontal="left" vertical="center" wrapText="1"/>
    </xf>
    <xf numFmtId="41" fontId="104" fillId="0" borderId="0" xfId="30" applyNumberFormat="1" applyFont="1" applyFill="1" applyAlignment="1">
      <alignment vertical="center" wrapText="1"/>
    </xf>
    <xf numFmtId="0" fontId="104" fillId="0" borderId="0" xfId="30" applyFont="1" applyFill="1" applyAlignment="1">
      <alignment vertical="center" wrapText="1"/>
    </xf>
    <xf numFmtId="0" fontId="7" fillId="0" borderId="2" xfId="30" applyFont="1" applyFill="1" applyBorder="1" applyAlignment="1">
      <alignment horizontal="center" vertical="center" wrapText="1"/>
    </xf>
    <xf numFmtId="0" fontId="7" fillId="0" borderId="2" xfId="30" applyFont="1" applyFill="1" applyBorder="1" applyAlignment="1">
      <alignment vertical="center" wrapText="1"/>
    </xf>
    <xf numFmtId="0" fontId="7" fillId="0" borderId="2" xfId="2" applyFont="1" applyFill="1" applyBorder="1" applyAlignment="1">
      <alignment vertical="center" wrapText="1"/>
    </xf>
    <xf numFmtId="41" fontId="7" fillId="0" borderId="2" xfId="2" applyNumberFormat="1" applyFont="1" applyFill="1" applyBorder="1" applyAlignment="1">
      <alignment vertical="center" wrapText="1"/>
    </xf>
    <xf numFmtId="41" fontId="205" fillId="0" borderId="2" xfId="0" applyNumberFormat="1" applyFont="1" applyFill="1" applyBorder="1" applyAlignment="1">
      <alignment vertical="center"/>
    </xf>
    <xf numFmtId="0" fontId="7" fillId="0" borderId="0" xfId="30" applyFont="1" applyFill="1" applyAlignment="1">
      <alignment horizontal="center" vertical="center" wrapText="1"/>
    </xf>
    <xf numFmtId="0" fontId="25" fillId="0" borderId="2" xfId="2421" applyFont="1" applyFill="1" applyBorder="1" applyAlignment="1">
      <alignment horizontal="center" vertical="center" wrapText="1"/>
    </xf>
    <xf numFmtId="41" fontId="204" fillId="0" borderId="56" xfId="0" applyNumberFormat="1" applyFont="1" applyFill="1" applyBorder="1" applyAlignment="1">
      <alignment vertical="center"/>
    </xf>
    <xf numFmtId="41" fontId="205" fillId="0" borderId="56" xfId="0" applyNumberFormat="1" applyFont="1" applyFill="1" applyBorder="1" applyAlignment="1">
      <alignment vertical="center"/>
    </xf>
    <xf numFmtId="49" fontId="7" fillId="0" borderId="2" xfId="2296" applyNumberFormat="1" applyFont="1" applyFill="1" applyBorder="1" applyAlignment="1">
      <alignment horizontal="center" vertical="center" wrapText="1"/>
    </xf>
    <xf numFmtId="3" fontId="7" fillId="0" borderId="2" xfId="0" applyNumberFormat="1" applyFont="1" applyFill="1" applyBorder="1" applyAlignment="1">
      <alignment horizontal="center" vertical="center" wrapText="1"/>
    </xf>
    <xf numFmtId="0" fontId="7" fillId="0" borderId="2" xfId="2296" applyFont="1" applyFill="1" applyBorder="1" applyAlignment="1">
      <alignment horizontal="center" vertical="center" wrapText="1"/>
    </xf>
    <xf numFmtId="41" fontId="21" fillId="0" borderId="2" xfId="2" applyNumberFormat="1" applyFont="1" applyFill="1" applyBorder="1" applyAlignment="1">
      <alignment horizontal="center" vertical="center" wrapText="1"/>
    </xf>
    <xf numFmtId="0" fontId="21" fillId="0" borderId="2" xfId="0" applyFont="1" applyFill="1" applyBorder="1" applyAlignment="1">
      <alignment horizontal="justify" vertical="center" wrapText="1"/>
    </xf>
    <xf numFmtId="0" fontId="205" fillId="0" borderId="56" xfId="0" applyFont="1" applyFill="1" applyBorder="1" applyAlignment="1">
      <alignment horizontal="left" vertical="center" wrapText="1"/>
    </xf>
    <xf numFmtId="0" fontId="7" fillId="0" borderId="2" xfId="0" applyFont="1" applyFill="1" applyBorder="1" applyAlignment="1">
      <alignment vertical="center" wrapText="1"/>
    </xf>
    <xf numFmtId="0" fontId="21" fillId="0" borderId="2" xfId="3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0" xfId="0" applyFont="1" applyFill="1" applyAlignment="1">
      <alignment horizontal="left" vertical="center" wrapText="1"/>
    </xf>
    <xf numFmtId="0" fontId="106" fillId="0" borderId="8" xfId="0" applyFont="1" applyFill="1" applyBorder="1" applyAlignment="1">
      <alignment horizontal="center" vertical="center" wrapText="1"/>
    </xf>
    <xf numFmtId="41" fontId="113" fillId="0" borderId="8" xfId="0" applyNumberFormat="1" applyFont="1" applyFill="1" applyBorder="1" applyAlignment="1">
      <alignment vertical="center"/>
    </xf>
    <xf numFmtId="41" fontId="205" fillId="0" borderId="8" xfId="0" applyNumberFormat="1" applyFont="1" applyFill="1" applyBorder="1" applyAlignment="1">
      <alignment vertical="center"/>
    </xf>
    <xf numFmtId="0" fontId="107" fillId="0" borderId="8" xfId="0" applyFont="1" applyFill="1" applyBorder="1" applyAlignment="1">
      <alignment horizontal="left" vertical="center" wrapText="1"/>
    </xf>
    <xf numFmtId="0" fontId="107" fillId="0" borderId="0" xfId="0" applyFont="1" applyFill="1" applyAlignment="1">
      <alignment horizontal="left" vertical="center" wrapText="1"/>
    </xf>
    <xf numFmtId="41" fontId="7" fillId="0" borderId="2" xfId="30" applyNumberFormat="1" applyFont="1" applyFill="1" applyBorder="1" applyAlignment="1">
      <alignment vertical="center"/>
    </xf>
    <xf numFmtId="0" fontId="25" fillId="0" borderId="2"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21" fillId="0" borderId="0" xfId="0" applyFont="1" applyFill="1" applyAlignment="1">
      <alignment horizontal="left" vertical="center" wrapText="1"/>
    </xf>
    <xf numFmtId="0" fontId="104" fillId="0" borderId="2" xfId="68" applyFont="1" applyFill="1" applyBorder="1" applyAlignment="1">
      <alignment horizontal="center" vertical="center" wrapText="1"/>
    </xf>
    <xf numFmtId="0" fontId="104" fillId="0" borderId="2" xfId="7" applyFont="1" applyFill="1" applyBorder="1" applyAlignment="1">
      <alignment horizontal="center" vertical="center" wrapText="1"/>
    </xf>
    <xf numFmtId="1" fontId="21" fillId="0" borderId="2" xfId="3" applyNumberFormat="1" applyFont="1" applyFill="1" applyBorder="1" applyAlignment="1">
      <alignment horizontal="center" vertical="center" wrapText="1"/>
    </xf>
    <xf numFmtId="41" fontId="21" fillId="0" borderId="2" xfId="30" applyNumberFormat="1" applyFont="1" applyFill="1" applyBorder="1" applyAlignment="1">
      <alignment vertical="center"/>
    </xf>
    <xf numFmtId="41" fontId="25" fillId="0" borderId="2" xfId="2" applyNumberFormat="1" applyFont="1" applyFill="1" applyBorder="1" applyAlignment="1">
      <alignment horizontal="center" vertical="center" wrapText="1"/>
    </xf>
    <xf numFmtId="0" fontId="105" fillId="0" borderId="2" xfId="30" applyFont="1" applyFill="1" applyBorder="1" applyAlignment="1">
      <alignment horizontal="center" vertical="center" wrapText="1"/>
    </xf>
    <xf numFmtId="0" fontId="105" fillId="0" borderId="2" xfId="30" applyFont="1" applyFill="1" applyBorder="1" applyAlignment="1">
      <alignment vertical="center" wrapText="1"/>
    </xf>
    <xf numFmtId="41" fontId="105" fillId="0" borderId="2" xfId="30" applyNumberFormat="1" applyFont="1" applyFill="1" applyBorder="1" applyAlignment="1">
      <alignment vertical="center"/>
    </xf>
    <xf numFmtId="0" fontId="102" fillId="0" borderId="2" xfId="2" applyFont="1" applyFill="1" applyBorder="1" applyAlignment="1">
      <alignment horizontal="center" vertical="center" wrapText="1"/>
    </xf>
    <xf numFmtId="0" fontId="7" fillId="0" borderId="2" xfId="2793" applyFont="1" applyFill="1" applyBorder="1" applyAlignment="1">
      <alignment horizontal="center" vertical="center" wrapText="1"/>
    </xf>
    <xf numFmtId="0" fontId="99" fillId="0" borderId="0" xfId="2" applyFont="1" applyFill="1" applyAlignment="1">
      <alignment vertical="center" wrapText="1"/>
    </xf>
    <xf numFmtId="0" fontId="7" fillId="0" borderId="2" xfId="4816" applyFont="1" applyBorder="1" applyAlignment="1">
      <alignment vertical="center" wrapText="1"/>
    </xf>
    <xf numFmtId="3" fontId="7" fillId="0" borderId="2" xfId="3" quotePrefix="1" applyNumberFormat="1" applyFont="1" applyFill="1" applyBorder="1" applyAlignment="1">
      <alignment horizontal="center" vertical="center" wrapText="1"/>
    </xf>
    <xf numFmtId="0" fontId="25" fillId="0" borderId="2" xfId="1" applyNumberFormat="1" applyFont="1" applyFill="1" applyBorder="1" applyAlignment="1">
      <alignment horizontal="left" vertical="center" wrapText="1"/>
    </xf>
    <xf numFmtId="0" fontId="25" fillId="0" borderId="2" xfId="2" applyFont="1" applyBorder="1" applyAlignment="1">
      <alignment horizontal="center" vertical="center" wrapText="1"/>
    </xf>
    <xf numFmtId="0" fontId="25" fillId="0" borderId="0" xfId="2" applyFont="1" applyAlignment="1">
      <alignment horizontal="center" vertical="center" wrapText="1"/>
    </xf>
    <xf numFmtId="169" fontId="25" fillId="0" borderId="2" xfId="1" applyNumberFormat="1" applyFont="1" applyFill="1" applyBorder="1" applyAlignment="1">
      <alignment horizontal="center" vertical="center" wrapText="1"/>
    </xf>
    <xf numFmtId="0" fontId="20" fillId="0" borderId="0" xfId="2" applyFont="1" applyFill="1" applyAlignment="1">
      <alignment horizontal="center" vertical="center" wrapText="1"/>
    </xf>
    <xf numFmtId="0" fontId="22" fillId="0" borderId="0" xfId="2" applyFont="1" applyFill="1" applyAlignment="1">
      <alignment horizontal="center" vertical="center" wrapText="1"/>
    </xf>
    <xf numFmtId="0" fontId="25" fillId="0" borderId="2" xfId="2" applyFont="1" applyFill="1" applyBorder="1" applyAlignment="1">
      <alignment horizontal="center" vertical="center" wrapText="1"/>
    </xf>
    <xf numFmtId="0" fontId="23" fillId="0" borderId="0" xfId="2" applyFont="1" applyFill="1" applyAlignment="1">
      <alignment horizontal="center" vertical="center" wrapText="1"/>
    </xf>
    <xf numFmtId="49" fontId="21" fillId="0" borderId="2" xfId="2283" applyNumberFormat="1" applyFont="1" applyFill="1" applyBorder="1" applyAlignment="1">
      <alignment horizontal="center" vertical="center" wrapText="1"/>
    </xf>
    <xf numFmtId="0" fontId="21" fillId="0" borderId="2" xfId="2283" applyFont="1" applyFill="1" applyBorder="1" applyAlignment="1">
      <alignment horizontal="center" vertical="center" wrapText="1"/>
    </xf>
    <xf numFmtId="41" fontId="21" fillId="0" borderId="2" xfId="2283" applyNumberFormat="1" applyFont="1" applyFill="1" applyBorder="1" applyAlignment="1">
      <alignment vertical="center"/>
    </xf>
    <xf numFmtId="41" fontId="205" fillId="0" borderId="2" xfId="0" applyNumberFormat="1" applyFont="1" applyFill="1" applyBorder="1" applyAlignment="1">
      <alignment horizontal="right" vertical="center" wrapText="1"/>
    </xf>
    <xf numFmtId="0" fontId="21" fillId="0" borderId="2" xfId="68" applyFont="1" applyFill="1" applyBorder="1" applyAlignment="1">
      <alignment horizontal="center" vertical="center" wrapText="1"/>
    </xf>
    <xf numFmtId="0" fontId="25" fillId="0" borderId="2" xfId="2" applyFont="1" applyFill="1" applyBorder="1" applyAlignment="1">
      <alignment horizontal="center" vertical="center" wrapText="1"/>
    </xf>
    <xf numFmtId="0" fontId="104" fillId="0" borderId="2" xfId="30" applyFont="1" applyBorder="1" applyAlignment="1">
      <alignment horizontal="center" vertical="center" wrapText="1"/>
    </xf>
    <xf numFmtId="0" fontId="25" fillId="0" borderId="2" xfId="2" applyFont="1" applyFill="1" applyBorder="1" applyAlignment="1">
      <alignment horizontal="center" vertical="center" wrapText="1"/>
    </xf>
    <xf numFmtId="0" fontId="120" fillId="0" borderId="0" xfId="39" applyFont="1" applyAlignment="1">
      <alignment horizontal="center" vertical="center"/>
    </xf>
    <xf numFmtId="0" fontId="5" fillId="0" borderId="0" xfId="39"/>
    <xf numFmtId="0" fontId="120" fillId="0" borderId="0" xfId="39" applyFont="1" applyAlignment="1">
      <alignment vertical="center"/>
    </xf>
    <xf numFmtId="0" fontId="116" fillId="0" borderId="0" xfId="39" applyFont="1" applyAlignment="1">
      <alignment horizontal="center" vertical="center" wrapText="1"/>
    </xf>
    <xf numFmtId="0" fontId="116" fillId="0" borderId="0" xfId="39" applyFont="1" applyAlignment="1">
      <alignment vertical="center"/>
    </xf>
    <xf numFmtId="0" fontId="121" fillId="0" borderId="0" xfId="39" applyFont="1" applyAlignment="1">
      <alignment horizontal="center" vertical="center" wrapText="1"/>
    </xf>
    <xf numFmtId="0" fontId="119" fillId="0" borderId="0" xfId="39" applyFont="1" applyAlignment="1">
      <alignment horizontal="center" vertical="center" wrapText="1"/>
    </xf>
    <xf numFmtId="0" fontId="119" fillId="0" borderId="0" xfId="39" applyFont="1" applyAlignment="1">
      <alignment vertical="center" wrapText="1"/>
    </xf>
    <xf numFmtId="0" fontId="5" fillId="0" borderId="0" xfId="39" applyAlignment="1">
      <alignment horizontal="center"/>
    </xf>
    <xf numFmtId="0" fontId="105" fillId="0" borderId="0" xfId="39" applyFont="1" applyAlignment="1">
      <alignment horizontal="center" vertical="center"/>
    </xf>
    <xf numFmtId="0" fontId="229" fillId="0" borderId="2" xfId="2" applyFont="1" applyBorder="1" applyAlignment="1">
      <alignment horizontal="center" vertical="center" wrapText="1"/>
    </xf>
    <xf numFmtId="0" fontId="229" fillId="0" borderId="0" xfId="2" applyFont="1" applyAlignment="1">
      <alignment horizontal="center" vertical="center" wrapText="1"/>
    </xf>
    <xf numFmtId="0" fontId="229" fillId="0" borderId="2" xfId="2" applyFont="1" applyBorder="1" applyAlignment="1">
      <alignment horizontal="left" vertical="center" wrapText="1"/>
    </xf>
    <xf numFmtId="41" fontId="229" fillId="0" borderId="2" xfId="2" applyNumberFormat="1" applyFont="1" applyBorder="1" applyAlignment="1">
      <alignment horizontal="center" vertical="center" wrapText="1"/>
    </xf>
    <xf numFmtId="41" fontId="229" fillId="0" borderId="0" xfId="2" applyNumberFormat="1" applyFont="1" applyAlignment="1">
      <alignment horizontal="center" vertical="center" wrapText="1"/>
    </xf>
    <xf numFmtId="41" fontId="21" fillId="0" borderId="0" xfId="7007" applyNumberFormat="1" applyFont="1" applyFill="1" applyBorder="1" applyAlignment="1">
      <alignment vertical="center"/>
    </xf>
    <xf numFmtId="41" fontId="21" fillId="0" borderId="2" xfId="7007" applyNumberFormat="1" applyFont="1" applyFill="1" applyBorder="1" applyAlignment="1">
      <alignment vertical="center"/>
    </xf>
    <xf numFmtId="0" fontId="98" fillId="0" borderId="2" xfId="2" applyFont="1" applyBorder="1" applyAlignment="1">
      <alignment horizontal="center" vertical="center" wrapText="1"/>
    </xf>
    <xf numFmtId="0" fontId="118" fillId="0" borderId="0" xfId="4" applyFont="1" applyFill="1"/>
    <xf numFmtId="0" fontId="117" fillId="0" borderId="0" xfId="4" applyFont="1" applyFill="1"/>
    <xf numFmtId="0" fontId="115" fillId="0" borderId="0" xfId="4" applyFont="1" applyFill="1"/>
    <xf numFmtId="0" fontId="118" fillId="0" borderId="0" xfId="4" applyFont="1" applyFill="1" applyAlignment="1">
      <alignment horizontal="center"/>
    </xf>
    <xf numFmtId="1" fontId="7" fillId="0" borderId="0" xfId="4" applyNumberFormat="1" applyFont="1" applyFill="1"/>
    <xf numFmtId="0" fontId="104" fillId="0" borderId="2" xfId="4" applyFont="1" applyFill="1" applyBorder="1" applyAlignment="1">
      <alignment horizontal="center" vertical="center"/>
    </xf>
    <xf numFmtId="0" fontId="104" fillId="0" borderId="2" xfId="4" applyFont="1" applyFill="1" applyBorder="1" applyAlignment="1">
      <alignment horizontal="center" vertical="center" wrapText="1"/>
    </xf>
    <xf numFmtId="41" fontId="104" fillId="0" borderId="2" xfId="4" applyNumberFormat="1" applyFont="1" applyFill="1" applyBorder="1" applyAlignment="1">
      <alignment vertical="center"/>
    </xf>
    <xf numFmtId="0" fontId="104" fillId="0" borderId="62" xfId="4" applyFont="1" applyFill="1" applyBorder="1" applyAlignment="1">
      <alignment horizontal="center" vertical="center"/>
    </xf>
    <xf numFmtId="41" fontId="117" fillId="0" borderId="0" xfId="4" applyNumberFormat="1" applyFont="1" applyFill="1"/>
    <xf numFmtId="1" fontId="104" fillId="0" borderId="2" xfId="4" applyNumberFormat="1" applyFont="1" applyFill="1" applyBorder="1" applyAlignment="1">
      <alignment horizontal="center" vertical="center" wrapText="1"/>
    </xf>
    <xf numFmtId="41" fontId="115" fillId="0" borderId="0" xfId="4" applyNumberFormat="1" applyFont="1" applyFill="1"/>
    <xf numFmtId="0" fontId="25" fillId="0" borderId="2" xfId="4" applyFont="1" applyFill="1" applyBorder="1" applyAlignment="1">
      <alignment horizontal="center" vertical="center"/>
    </xf>
    <xf numFmtId="0" fontId="25" fillId="0" borderId="2" xfId="4" applyFont="1" applyFill="1" applyBorder="1" applyAlignment="1">
      <alignment horizontal="left" vertical="center" wrapText="1"/>
    </xf>
    <xf numFmtId="1" fontId="25" fillId="0" borderId="2" xfId="4" applyNumberFormat="1" applyFont="1" applyFill="1" applyBorder="1" applyAlignment="1">
      <alignment horizontal="center" vertical="center" wrapText="1"/>
    </xf>
    <xf numFmtId="41" fontId="25" fillId="0" borderId="2" xfId="4" applyNumberFormat="1" applyFont="1" applyFill="1" applyBorder="1" applyAlignment="1">
      <alignment vertical="center"/>
    </xf>
    <xf numFmtId="0" fontId="25" fillId="0" borderId="62" xfId="4" applyFont="1" applyFill="1" applyBorder="1" applyAlignment="1">
      <alignment horizontal="center" vertical="center"/>
    </xf>
    <xf numFmtId="41" fontId="26" fillId="0" borderId="0" xfId="4" applyNumberFormat="1" applyFont="1" applyFill="1"/>
    <xf numFmtId="0" fontId="26" fillId="0" borderId="0" xfId="4" applyFont="1" applyFill="1"/>
    <xf numFmtId="0" fontId="21" fillId="0" borderId="2" xfId="4" applyFont="1" applyFill="1" applyBorder="1" applyAlignment="1">
      <alignment horizontal="center" vertical="center"/>
    </xf>
    <xf numFmtId="0" fontId="21" fillId="0" borderId="2" xfId="4" applyFont="1" applyFill="1" applyBorder="1" applyAlignment="1">
      <alignment horizontal="left" vertical="center" wrapText="1"/>
    </xf>
    <xf numFmtId="41" fontId="21" fillId="0" borderId="2" xfId="4" applyNumberFormat="1" applyFont="1" applyFill="1" applyBorder="1" applyAlignment="1">
      <alignment vertical="center"/>
    </xf>
    <xf numFmtId="1" fontId="21" fillId="0" borderId="2" xfId="4" applyNumberFormat="1" applyFont="1" applyFill="1" applyBorder="1" applyAlignment="1">
      <alignment horizontal="center" vertical="center" wrapText="1"/>
    </xf>
    <xf numFmtId="0" fontId="24" fillId="0" borderId="2" xfId="4" applyFont="1" applyFill="1" applyBorder="1" applyAlignment="1">
      <alignment horizontal="center" vertical="center"/>
    </xf>
    <xf numFmtId="0" fontId="24" fillId="0" borderId="2" xfId="4" applyFont="1" applyFill="1" applyBorder="1" applyAlignment="1">
      <alignment horizontal="left" vertical="center" wrapText="1"/>
    </xf>
    <xf numFmtId="1" fontId="24" fillId="0" borderId="2" xfId="4" applyNumberFormat="1" applyFont="1" applyFill="1" applyBorder="1" applyAlignment="1">
      <alignment horizontal="center" vertical="center" wrapText="1"/>
    </xf>
    <xf numFmtId="41" fontId="24" fillId="0" borderId="2" xfId="4" applyNumberFormat="1" applyFont="1" applyFill="1" applyBorder="1" applyAlignment="1">
      <alignment vertical="center"/>
    </xf>
    <xf numFmtId="0" fontId="29" fillId="0" borderId="62" xfId="4" applyFont="1" applyFill="1" applyBorder="1" applyAlignment="1">
      <alignment horizontal="center" vertical="center"/>
    </xf>
    <xf numFmtId="41" fontId="24" fillId="0" borderId="0" xfId="4" applyNumberFormat="1" applyFont="1" applyFill="1"/>
    <xf numFmtId="0" fontId="24" fillId="0" borderId="0" xfId="4" applyFont="1" applyFill="1"/>
    <xf numFmtId="41" fontId="28" fillId="0" borderId="0" xfId="4" applyNumberFormat="1" applyFont="1" applyFill="1"/>
    <xf numFmtId="0" fontId="28" fillId="0" borderId="0" xfId="4" applyFont="1" applyFill="1"/>
    <xf numFmtId="41" fontId="29" fillId="0" borderId="0" xfId="4" applyNumberFormat="1" applyFont="1" applyFill="1"/>
    <xf numFmtId="41" fontId="108" fillId="0" borderId="0" xfId="4" applyNumberFormat="1" applyFont="1" applyFill="1"/>
    <xf numFmtId="0" fontId="108" fillId="0" borderId="0" xfId="4" applyFont="1" applyFill="1"/>
    <xf numFmtId="0" fontId="21" fillId="0" borderId="62" xfId="4" applyFont="1" applyFill="1" applyBorder="1" applyAlignment="1">
      <alignment horizontal="center" vertical="center"/>
    </xf>
    <xf numFmtId="41" fontId="27" fillId="0" borderId="0" xfId="4" applyNumberFormat="1" applyFont="1" applyFill="1"/>
    <xf numFmtId="0" fontId="27" fillId="0" borderId="0" xfId="4" applyFont="1" applyFill="1"/>
    <xf numFmtId="0" fontId="7" fillId="0" borderId="2" xfId="4" applyFont="1" applyFill="1" applyBorder="1" applyAlignment="1">
      <alignment horizontal="left" vertical="center" wrapText="1"/>
    </xf>
    <xf numFmtId="0" fontId="24" fillId="0" borderId="62" xfId="4" applyFont="1" applyFill="1" applyBorder="1" applyAlignment="1">
      <alignment horizontal="center" vertical="center"/>
    </xf>
    <xf numFmtId="41" fontId="226" fillId="0" borderId="0" xfId="4" applyNumberFormat="1" applyFont="1" applyFill="1"/>
    <xf numFmtId="0" fontId="226" fillId="0" borderId="0" xfId="4" applyFont="1" applyFill="1"/>
    <xf numFmtId="0" fontId="7" fillId="0" borderId="2" xfId="4" applyFont="1" applyFill="1" applyBorder="1" applyAlignment="1">
      <alignment horizontal="center" vertical="center"/>
    </xf>
    <xf numFmtId="1" fontId="7" fillId="0" borderId="2" xfId="4" applyNumberFormat="1" applyFont="1" applyFill="1" applyBorder="1" applyAlignment="1">
      <alignment horizontal="center" vertical="center" wrapText="1"/>
    </xf>
    <xf numFmtId="41" fontId="7" fillId="0" borderId="2" xfId="4" applyNumberFormat="1" applyFont="1" applyFill="1" applyBorder="1" applyAlignment="1">
      <alignment vertical="center"/>
    </xf>
    <xf numFmtId="0" fontId="7" fillId="0" borderId="62" xfId="4" applyFont="1" applyFill="1" applyBorder="1" applyAlignment="1">
      <alignment horizontal="center" vertical="center"/>
    </xf>
    <xf numFmtId="0" fontId="21" fillId="0" borderId="62" xfId="4" applyFont="1" applyFill="1" applyBorder="1" applyAlignment="1">
      <alignment horizontal="left" vertical="center" wrapText="1"/>
    </xf>
    <xf numFmtId="0" fontId="21" fillId="0" borderId="62" xfId="4" applyFont="1" applyFill="1" applyBorder="1" applyAlignment="1">
      <alignment vertical="center" wrapText="1"/>
    </xf>
    <xf numFmtId="0" fontId="7" fillId="0" borderId="62" xfId="4" applyFont="1" applyFill="1" applyBorder="1" applyAlignment="1">
      <alignment vertical="center" wrapText="1"/>
    </xf>
    <xf numFmtId="41" fontId="7" fillId="0" borderId="0" xfId="4" applyNumberFormat="1" applyFont="1" applyFill="1"/>
    <xf numFmtId="0" fontId="7" fillId="0" borderId="0" xfId="4" applyFont="1" applyFill="1"/>
    <xf numFmtId="0" fontId="114" fillId="0" borderId="62" xfId="4" applyFont="1" applyFill="1" applyBorder="1" applyAlignment="1">
      <alignment horizontal="center" vertical="center"/>
    </xf>
    <xf numFmtId="0" fontId="98" fillId="0" borderId="0" xfId="2" applyFont="1" applyBorder="1" applyAlignment="1">
      <alignment vertical="center" wrapText="1"/>
    </xf>
    <xf numFmtId="41" fontId="21" fillId="97" borderId="2" xfId="7" applyNumberFormat="1" applyFont="1" applyFill="1" applyBorder="1" applyAlignment="1">
      <alignment vertical="center"/>
    </xf>
    <xf numFmtId="232" fontId="112" fillId="97" borderId="2" xfId="2" applyNumberFormat="1" applyFont="1" applyFill="1" applyBorder="1" applyAlignment="1">
      <alignment vertical="center"/>
    </xf>
    <xf numFmtId="0" fontId="116" fillId="0" borderId="0" xfId="4" applyFont="1" applyFill="1" applyAlignment="1">
      <alignment horizontal="center" vertical="center" wrapText="1"/>
    </xf>
    <xf numFmtId="0" fontId="114" fillId="0" borderId="0" xfId="4" applyFont="1" applyFill="1" applyAlignment="1">
      <alignment horizontal="center" vertical="center" wrapText="1"/>
    </xf>
    <xf numFmtId="0" fontId="114" fillId="0" borderId="1" xfId="4" applyFont="1" applyFill="1" applyBorder="1" applyAlignment="1">
      <alignment horizontal="right" vertical="center" wrapText="1"/>
    </xf>
    <xf numFmtId="0" fontId="115" fillId="0" borderId="3" xfId="4" applyFont="1" applyFill="1" applyBorder="1" applyAlignment="1">
      <alignment horizontal="center" vertical="center"/>
    </xf>
    <xf numFmtId="0" fontId="115" fillId="0" borderId="5" xfId="4" applyFont="1" applyFill="1" applyBorder="1" applyAlignment="1">
      <alignment horizontal="center" vertical="center"/>
    </xf>
    <xf numFmtId="0" fontId="115" fillId="0" borderId="2" xfId="4" applyFont="1" applyFill="1" applyBorder="1" applyAlignment="1">
      <alignment horizontal="center" vertical="center"/>
    </xf>
    <xf numFmtId="0" fontId="115" fillId="0" borderId="2" xfId="4" applyFont="1" applyFill="1" applyBorder="1" applyAlignment="1">
      <alignment horizontal="center" vertical="center" wrapText="1"/>
    </xf>
    <xf numFmtId="0" fontId="115" fillId="0" borderId="60" xfId="4" applyFont="1" applyFill="1" applyBorder="1" applyAlignment="1">
      <alignment horizontal="center" vertical="center"/>
    </xf>
    <xf numFmtId="0" fontId="115" fillId="0" borderId="62" xfId="4" applyFont="1" applyFill="1" applyBorder="1" applyAlignment="1">
      <alignment horizontal="center" vertical="center"/>
    </xf>
    <xf numFmtId="0" fontId="120" fillId="0" borderId="0" xfId="2" applyFont="1" applyFill="1" applyAlignment="1">
      <alignment horizontal="left" vertical="center" wrapText="1"/>
    </xf>
    <xf numFmtId="169" fontId="25" fillId="0" borderId="6" xfId="1" applyNumberFormat="1" applyFont="1" applyFill="1" applyBorder="1" applyAlignment="1">
      <alignment horizontal="center" vertical="center" wrapText="1"/>
    </xf>
    <xf numFmtId="169" fontId="25" fillId="0" borderId="7" xfId="1" applyNumberFormat="1" applyFont="1" applyFill="1" applyBorder="1" applyAlignment="1">
      <alignment horizontal="center" vertical="center" wrapText="1"/>
    </xf>
    <xf numFmtId="169" fontId="25" fillId="0" borderId="8" xfId="1" applyNumberFormat="1" applyFont="1" applyFill="1" applyBorder="1" applyAlignment="1">
      <alignment horizontal="center" vertical="center" wrapText="1"/>
    </xf>
    <xf numFmtId="0" fontId="25" fillId="0" borderId="44" xfId="2" applyFont="1" applyFill="1" applyBorder="1" applyAlignment="1">
      <alignment horizontal="center" vertical="center" wrapText="1"/>
    </xf>
    <xf numFmtId="0" fontId="25" fillId="0" borderId="43" xfId="2" applyFont="1" applyFill="1" applyBorder="1" applyAlignment="1">
      <alignment horizontal="center" vertical="center" wrapText="1"/>
    </xf>
    <xf numFmtId="0" fontId="25" fillId="0" borderId="3" xfId="2" applyFont="1" applyFill="1" applyBorder="1" applyAlignment="1">
      <alignment horizontal="center" vertical="center" wrapText="1"/>
    </xf>
    <xf numFmtId="0" fontId="25" fillId="0" borderId="4" xfId="2" applyFont="1" applyFill="1" applyBorder="1" applyAlignment="1">
      <alignment horizontal="center" vertical="center" wrapText="1"/>
    </xf>
    <xf numFmtId="169" fontId="25" fillId="0" borderId="2" xfId="1" applyNumberFormat="1" applyFont="1" applyFill="1" applyBorder="1" applyAlignment="1">
      <alignment horizontal="center" vertical="center" wrapText="1"/>
    </xf>
    <xf numFmtId="0" fontId="20" fillId="0" borderId="0" xfId="2" applyFont="1" applyFill="1" applyAlignment="1">
      <alignment horizontal="center" vertical="center" wrapText="1"/>
    </xf>
    <xf numFmtId="0" fontId="22" fillId="0" borderId="0" xfId="2" applyFont="1" applyFill="1" applyAlignment="1">
      <alignment horizontal="center" vertical="center" wrapText="1"/>
    </xf>
    <xf numFmtId="0" fontId="121" fillId="0" borderId="0" xfId="2" applyFont="1" applyFill="1" applyAlignment="1">
      <alignment horizontal="center" vertical="center" wrapText="1"/>
    </xf>
    <xf numFmtId="169" fontId="25" fillId="0" borderId="3" xfId="1" applyNumberFormat="1" applyFont="1" applyFill="1" applyBorder="1" applyAlignment="1">
      <alignment horizontal="center" vertical="center" wrapText="1"/>
    </xf>
    <xf numFmtId="169" fontId="25" fillId="0" borderId="5" xfId="1" applyNumberFormat="1" applyFont="1" applyFill="1" applyBorder="1" applyAlignment="1">
      <alignment horizontal="center" vertical="center" wrapText="1"/>
    </xf>
    <xf numFmtId="0" fontId="25" fillId="0" borderId="2" xfId="2" applyFont="1" applyFill="1" applyBorder="1" applyAlignment="1">
      <alignment horizontal="center" vertical="center" wrapText="1"/>
    </xf>
    <xf numFmtId="0" fontId="25" fillId="0" borderId="5" xfId="2" applyFont="1" applyFill="1" applyBorder="1" applyAlignment="1">
      <alignment horizontal="center" vertical="center" wrapText="1"/>
    </xf>
    <xf numFmtId="169" fontId="25" fillId="0" borderId="4" xfId="1" applyNumberFormat="1" applyFont="1" applyFill="1" applyBorder="1" applyAlignment="1">
      <alignment horizontal="center" vertical="center" wrapText="1"/>
    </xf>
    <xf numFmtId="169" fontId="25" fillId="0" borderId="41" xfId="1" applyNumberFormat="1" applyFont="1" applyFill="1" applyBorder="1" applyAlignment="1">
      <alignment horizontal="center" vertical="center" wrapText="1"/>
    </xf>
    <xf numFmtId="169" fontId="25" fillId="0" borderId="44" xfId="1" applyNumberFormat="1" applyFont="1" applyFill="1" applyBorder="1" applyAlignment="1">
      <alignment horizontal="center" vertical="center" wrapText="1"/>
    </xf>
    <xf numFmtId="169" fontId="25" fillId="0" borderId="43" xfId="1" applyNumberFormat="1" applyFont="1" applyFill="1" applyBorder="1" applyAlignment="1">
      <alignment horizontal="center" vertical="center" wrapText="1"/>
    </xf>
    <xf numFmtId="0" fontId="123" fillId="0" borderId="0" xfId="2" applyFont="1" applyFill="1" applyAlignment="1">
      <alignment horizontal="left" vertical="center" wrapText="1"/>
    </xf>
    <xf numFmtId="0" fontId="23" fillId="0" borderId="0" xfId="2" applyFont="1" applyFill="1" applyAlignment="1">
      <alignment horizontal="center" vertical="center" wrapText="1"/>
    </xf>
    <xf numFmtId="0" fontId="21" fillId="0" borderId="0" xfId="0" applyFont="1" applyAlignment="1">
      <alignment horizontal="center" vertical="center" wrapText="1"/>
    </xf>
    <xf numFmtId="0" fontId="25" fillId="0" borderId="2" xfId="0" applyFont="1" applyBorder="1" applyAlignment="1">
      <alignment horizontal="center" vertical="center" wrapText="1"/>
    </xf>
    <xf numFmtId="0" fontId="20" fillId="0" borderId="0" xfId="0" applyFont="1" applyAlignment="1">
      <alignment horizontal="center" vertical="center" wrapText="1"/>
    </xf>
    <xf numFmtId="0" fontId="207" fillId="0" borderId="0" xfId="0" applyFont="1" applyAlignment="1">
      <alignment horizontal="center" vertical="center" wrapText="1"/>
    </xf>
    <xf numFmtId="0" fontId="101" fillId="0" borderId="0" xfId="0" applyFont="1" applyAlignment="1">
      <alignment horizontal="center" vertical="center" wrapText="1"/>
    </xf>
    <xf numFmtId="0" fontId="23" fillId="0" borderId="0" xfId="0" applyFont="1" applyAlignment="1">
      <alignment horizontal="center" vertical="center" wrapText="1"/>
    </xf>
    <xf numFmtId="0" fontId="25" fillId="0" borderId="2" xfId="2"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0" fillId="0" borderId="0" xfId="2" applyFont="1" applyAlignment="1">
      <alignment horizontal="center" vertical="center" wrapText="1"/>
    </xf>
    <xf numFmtId="0" fontId="207" fillId="0" borderId="0" xfId="2" applyFont="1" applyAlignment="1">
      <alignment horizontal="center" vertical="center" wrapText="1"/>
    </xf>
    <xf numFmtId="0" fontId="23" fillId="0" borderId="0" xfId="2" applyFont="1" applyAlignment="1">
      <alignment horizontal="center" vertical="center" wrapText="1"/>
    </xf>
    <xf numFmtId="0" fontId="25" fillId="0" borderId="3" xfId="2" applyFont="1" applyBorder="1" applyAlignment="1">
      <alignment horizontal="center" vertical="center" wrapText="1"/>
    </xf>
    <xf numFmtId="0" fontId="25" fillId="0" borderId="4" xfId="2" applyFont="1" applyBorder="1" applyAlignment="1">
      <alignment horizontal="center" vertical="center" wrapText="1"/>
    </xf>
    <xf numFmtId="0" fontId="25" fillId="0" borderId="5" xfId="2" applyFont="1" applyBorder="1" applyAlignment="1">
      <alignment horizontal="center" vertical="center" wrapText="1"/>
    </xf>
    <xf numFmtId="0" fontId="25" fillId="0" borderId="41" xfId="2" applyFont="1" applyBorder="1" applyAlignment="1">
      <alignment horizontal="center" vertical="center" wrapText="1"/>
    </xf>
    <xf numFmtId="0" fontId="25" fillId="0" borderId="44" xfId="2" applyFont="1" applyBorder="1" applyAlignment="1">
      <alignment horizontal="center" vertical="center" wrapText="1"/>
    </xf>
    <xf numFmtId="0" fontId="25" fillId="0" borderId="43" xfId="2" applyFont="1" applyBorder="1" applyAlignment="1">
      <alignment horizontal="center" vertical="center" wrapText="1"/>
    </xf>
    <xf numFmtId="0" fontId="104" fillId="0" borderId="2" xfId="2767" applyFont="1" applyBorder="1" applyAlignment="1">
      <alignment horizontal="center" vertical="center" wrapText="1"/>
    </xf>
    <xf numFmtId="0" fontId="119" fillId="0" borderId="0" xfId="2767" applyFont="1" applyAlignment="1">
      <alignment horizontal="center" vertical="center" wrapText="1"/>
    </xf>
    <xf numFmtId="0" fontId="116" fillId="0" borderId="0" xfId="2767" applyFont="1" applyAlignment="1">
      <alignment horizontal="center" vertical="center" wrapText="1"/>
    </xf>
    <xf numFmtId="0" fontId="121" fillId="0" borderId="0" xfId="2767" applyFont="1" applyAlignment="1">
      <alignment horizontal="center" vertical="center" wrapText="1"/>
    </xf>
    <xf numFmtId="169" fontId="104" fillId="0" borderId="6" xfId="1" applyNumberFormat="1" applyFont="1" applyFill="1" applyBorder="1" applyAlignment="1">
      <alignment horizontal="center" vertical="center" wrapText="1"/>
    </xf>
    <xf numFmtId="169" fontId="104" fillId="0" borderId="7" xfId="1" applyNumberFormat="1" applyFont="1" applyFill="1" applyBorder="1" applyAlignment="1">
      <alignment horizontal="center" vertical="center" wrapText="1"/>
    </xf>
    <xf numFmtId="0" fontId="104" fillId="0" borderId="2" xfId="2" applyFont="1" applyBorder="1" applyAlignment="1">
      <alignment horizontal="center" vertical="center" wrapText="1"/>
    </xf>
    <xf numFmtId="169" fontId="104" fillId="0" borderId="2" xfId="1" applyNumberFormat="1" applyFont="1" applyFill="1" applyBorder="1" applyAlignment="1">
      <alignment horizontal="center" vertical="center" wrapText="1"/>
    </xf>
    <xf numFmtId="169" fontId="104" fillId="0" borderId="3" xfId="1" applyNumberFormat="1" applyFont="1" applyFill="1" applyBorder="1" applyAlignment="1">
      <alignment horizontal="center" vertical="center" wrapText="1"/>
    </xf>
    <xf numFmtId="169" fontId="104" fillId="0" borderId="4" xfId="1" applyNumberFormat="1" applyFont="1" applyFill="1" applyBorder="1" applyAlignment="1">
      <alignment horizontal="center" vertical="center" wrapText="1"/>
    </xf>
    <xf numFmtId="169" fontId="104" fillId="0" borderId="5" xfId="1" applyNumberFormat="1" applyFont="1" applyFill="1" applyBorder="1" applyAlignment="1">
      <alignment horizontal="center" vertical="center" wrapText="1"/>
    </xf>
    <xf numFmtId="0" fontId="104" fillId="0" borderId="41" xfId="2767" applyFont="1" applyBorder="1" applyAlignment="1">
      <alignment horizontal="center" vertical="center" wrapText="1"/>
    </xf>
    <xf numFmtId="0" fontId="104" fillId="0" borderId="42" xfId="2767" applyFont="1" applyBorder="1" applyAlignment="1">
      <alignment horizontal="center" vertical="center" wrapText="1"/>
    </xf>
    <xf numFmtId="0" fontId="104" fillId="0" borderId="60" xfId="2767" applyFont="1" applyBorder="1" applyAlignment="1">
      <alignment horizontal="center" vertical="center" wrapText="1"/>
    </xf>
    <xf numFmtId="0" fontId="104" fillId="0" borderId="44" xfId="2767" applyFont="1" applyBorder="1" applyAlignment="1">
      <alignment horizontal="center" vertical="center" wrapText="1"/>
    </xf>
    <xf numFmtId="0" fontId="104" fillId="0" borderId="0" xfId="2767" applyFont="1" applyAlignment="1">
      <alignment horizontal="center" vertical="center" wrapText="1"/>
    </xf>
    <xf numFmtId="0" fontId="104" fillId="0" borderId="61" xfId="2767" applyFont="1" applyBorder="1" applyAlignment="1">
      <alignment horizontal="center" vertical="center" wrapText="1"/>
    </xf>
    <xf numFmtId="0" fontId="104" fillId="0" borderId="43" xfId="2767" applyFont="1" applyBorder="1" applyAlignment="1">
      <alignment horizontal="center" vertical="center" wrapText="1"/>
    </xf>
    <xf numFmtId="0" fontId="104" fillId="0" borderId="1" xfId="2767" applyFont="1" applyBorder="1" applyAlignment="1">
      <alignment horizontal="center" vertical="center" wrapText="1"/>
    </xf>
    <xf numFmtId="0" fontId="104" fillId="0" borderId="62" xfId="2767" applyFont="1" applyBorder="1" applyAlignment="1">
      <alignment horizontal="center" vertical="center" wrapText="1"/>
    </xf>
    <xf numFmtId="0" fontId="25" fillId="0" borderId="42" xfId="2" applyFont="1" applyBorder="1" applyAlignment="1">
      <alignment horizontal="center" vertical="center" wrapText="1"/>
    </xf>
    <xf numFmtId="0" fontId="25" fillId="0" borderId="60" xfId="2" applyFont="1" applyBorder="1" applyAlignment="1">
      <alignment horizontal="center" vertical="center" wrapText="1"/>
    </xf>
    <xf numFmtId="0" fontId="25" fillId="0" borderId="0" xfId="2" applyFont="1" applyAlignment="1">
      <alignment horizontal="center" vertical="center" wrapText="1"/>
    </xf>
    <xf numFmtId="0" fontId="25" fillId="0" borderId="61" xfId="2" applyFont="1" applyBorder="1" applyAlignment="1">
      <alignment horizontal="center" vertical="center" wrapText="1"/>
    </xf>
    <xf numFmtId="0" fontId="25" fillId="0" borderId="1" xfId="2" applyFont="1" applyBorder="1" applyAlignment="1">
      <alignment horizontal="center" vertical="center" wrapText="1"/>
    </xf>
    <xf numFmtId="0" fontId="25" fillId="0" borderId="62" xfId="2" applyFont="1" applyBorder="1" applyAlignment="1">
      <alignment horizontal="center" vertical="center" wrapText="1"/>
    </xf>
    <xf numFmtId="0" fontId="121" fillId="0" borderId="0" xfId="2" applyFont="1" applyAlignment="1">
      <alignment horizontal="center" vertical="center" wrapText="1"/>
    </xf>
    <xf numFmtId="0" fontId="25" fillId="0" borderId="2" xfId="2790" applyFont="1" applyBorder="1" applyAlignment="1">
      <alignment horizontal="center" vertical="center" wrapText="1"/>
    </xf>
    <xf numFmtId="0" fontId="25" fillId="0" borderId="3" xfId="7" applyFont="1" applyBorder="1" applyAlignment="1">
      <alignment horizontal="center" vertical="center" wrapText="1"/>
    </xf>
    <xf numFmtId="0" fontId="25" fillId="0" borderId="4" xfId="7" applyFont="1" applyBorder="1" applyAlignment="1">
      <alignment horizontal="center" vertical="center" wrapText="1"/>
    </xf>
    <xf numFmtId="0" fontId="25" fillId="0" borderId="5" xfId="7" applyFont="1" applyBorder="1" applyAlignment="1">
      <alignment horizontal="center" vertical="center" wrapText="1"/>
    </xf>
    <xf numFmtId="0" fontId="25" fillId="0" borderId="41" xfId="7" applyFont="1" applyBorder="1" applyAlignment="1">
      <alignment horizontal="center" vertical="center" wrapText="1"/>
    </xf>
    <xf numFmtId="0" fontId="25" fillId="0" borderId="44" xfId="7" applyFont="1" applyBorder="1" applyAlignment="1">
      <alignment horizontal="center" vertical="center" wrapText="1"/>
    </xf>
    <xf numFmtId="0" fontId="25" fillId="0" borderId="43" xfId="7" applyFont="1" applyBorder="1" applyAlignment="1">
      <alignment horizontal="center" vertical="center" wrapText="1"/>
    </xf>
    <xf numFmtId="0" fontId="26" fillId="0" borderId="3" xfId="2" applyFont="1" applyBorder="1" applyAlignment="1">
      <alignment horizontal="center" vertical="center" wrapText="1"/>
    </xf>
    <xf numFmtId="0" fontId="26" fillId="0" borderId="4" xfId="2" applyFont="1" applyBorder="1" applyAlignment="1">
      <alignment horizontal="center" vertical="center" wrapText="1"/>
    </xf>
    <xf numFmtId="0" fontId="104" fillId="0" borderId="2" xfId="2790" applyFont="1" applyBorder="1" applyAlignment="1">
      <alignment horizontal="center" vertical="center" wrapText="1"/>
    </xf>
    <xf numFmtId="0" fontId="26" fillId="0" borderId="5" xfId="2" applyFont="1" applyBorder="1" applyAlignment="1">
      <alignment horizontal="center" vertical="center" wrapText="1"/>
    </xf>
    <xf numFmtId="0" fontId="26" fillId="0" borderId="2" xfId="2" applyFont="1" applyBorder="1" applyAlignment="1">
      <alignment horizontal="center" vertical="center" wrapText="1"/>
    </xf>
    <xf numFmtId="0" fontId="26" fillId="0" borderId="3" xfId="7" applyFont="1" applyBorder="1" applyAlignment="1">
      <alignment horizontal="center" vertical="center" wrapText="1"/>
    </xf>
    <xf numFmtId="0" fontId="26" fillId="0" borderId="4" xfId="7" applyFont="1" applyBorder="1" applyAlignment="1">
      <alignment horizontal="center" vertical="center" wrapText="1"/>
    </xf>
    <xf numFmtId="0" fontId="26" fillId="0" borderId="5" xfId="7" applyFont="1" applyBorder="1" applyAlignment="1">
      <alignment horizontal="center" vertical="center" wrapText="1"/>
    </xf>
    <xf numFmtId="0" fontId="26" fillId="0" borderId="41" xfId="7" applyFont="1" applyBorder="1" applyAlignment="1">
      <alignment horizontal="center" vertical="center" wrapText="1"/>
    </xf>
    <xf numFmtId="0" fontId="26" fillId="0" borderId="44" xfId="7" applyFont="1" applyBorder="1" applyAlignment="1">
      <alignment horizontal="center" vertical="center" wrapText="1"/>
    </xf>
    <xf numFmtId="0" fontId="26" fillId="0" borderId="43" xfId="7" applyFont="1" applyBorder="1" applyAlignment="1">
      <alignment horizontal="center" vertical="center" wrapText="1"/>
    </xf>
    <xf numFmtId="169" fontId="26" fillId="0" borderId="3" xfId="1" applyNumberFormat="1" applyFont="1" applyFill="1" applyBorder="1" applyAlignment="1">
      <alignment horizontal="center" vertical="center" wrapText="1"/>
    </xf>
    <xf numFmtId="169" fontId="26" fillId="0" borderId="4" xfId="1" applyNumberFormat="1" applyFont="1" applyFill="1" applyBorder="1" applyAlignment="1">
      <alignment horizontal="center" vertical="center" wrapText="1"/>
    </xf>
    <xf numFmtId="169" fontId="26" fillId="0" borderId="5" xfId="1" applyNumberFormat="1" applyFont="1" applyFill="1" applyBorder="1" applyAlignment="1">
      <alignment horizontal="center" vertical="center" wrapText="1"/>
    </xf>
    <xf numFmtId="0" fontId="104" fillId="0" borderId="2" xfId="30" applyFont="1" applyBorder="1" applyAlignment="1">
      <alignment horizontal="center" vertical="center" wrapText="1"/>
    </xf>
    <xf numFmtId="0" fontId="115" fillId="0" borderId="2" xfId="30" applyFont="1" applyBorder="1" applyAlignment="1">
      <alignment horizontal="center" vertical="center" wrapText="1"/>
    </xf>
    <xf numFmtId="0" fontId="25" fillId="0" borderId="0" xfId="30" applyFont="1" applyAlignment="1">
      <alignment horizontal="left" vertical="center" wrapText="1"/>
    </xf>
    <xf numFmtId="0" fontId="7" fillId="0" borderId="0" xfId="30" applyFont="1" applyAlignment="1">
      <alignment horizontal="left" vertical="center" wrapText="1"/>
    </xf>
    <xf numFmtId="0" fontId="123" fillId="0" borderId="0" xfId="30" applyFont="1" applyAlignment="1">
      <alignment horizontal="center" vertical="center" wrapText="1"/>
    </xf>
    <xf numFmtId="0" fontId="116" fillId="0" borderId="0" xfId="30" applyFont="1" applyAlignment="1">
      <alignment horizontal="center" vertical="center" wrapText="1"/>
    </xf>
    <xf numFmtId="0" fontId="121" fillId="0" borderId="0" xfId="30" applyFont="1" applyAlignment="1">
      <alignment horizontal="center" vertical="center" wrapText="1"/>
    </xf>
    <xf numFmtId="0" fontId="123" fillId="0" borderId="0" xfId="39" applyFont="1" applyAlignment="1">
      <alignment horizontal="center" vertical="center"/>
    </xf>
    <xf numFmtId="0" fontId="116" fillId="0" borderId="0" xfId="39" applyFont="1" applyAlignment="1">
      <alignment horizontal="center" vertical="center" wrapText="1"/>
    </xf>
    <xf numFmtId="0" fontId="121" fillId="0" borderId="0" xfId="39" applyFont="1" applyAlignment="1">
      <alignment horizontal="center" vertical="center" wrapText="1"/>
    </xf>
    <xf numFmtId="41" fontId="21" fillId="0" borderId="2" xfId="7007" applyNumberFormat="1" applyFont="1" applyFill="1" applyBorder="1" applyAlignment="1">
      <alignment horizontal="center" vertical="center" wrapText="1"/>
    </xf>
  </cellXfs>
  <cellStyles count="7009">
    <cellStyle name="_x0001_" xfId="79"/>
    <cellStyle name="          _x000a__x000a_shell=progman.exe_x000a__x000a_m" xfId="2794"/>
    <cellStyle name="          _x000d__x000a_shell=progman.exe_x000d__x000a_m" xfId="80"/>
    <cellStyle name="          _x000d__x000a_shell=progman.exe_x000d__x000a_m 2" xfId="81"/>
    <cellStyle name="          _x000d__x000a_shell=progman.exe_x000d__x000a_m 3" xfId="82"/>
    <cellStyle name="          _x005f_x000d__x005f_x000a_shell=progman.exe_x005f_x000d__x005f_x000a_m" xfId="2795"/>
    <cellStyle name="_x000a__x000a_JournalTemplate=C:\COMFO\CTALK\JOURSTD.TPL_x000a__x000a_LbStateAddress=3 3 0 251 1 89 2 311_x000a__x000a_LbStateJou" xfId="2796"/>
    <cellStyle name="_x000d__x000a_JournalTemplate=C:\COMFO\CTALK\JOURSTD.TPL_x000d__x000a_LbStateAddress=3 3 0 251 1 89 2 311_x000d__x000a_LbStateJou" xfId="2797"/>
    <cellStyle name="#,##0" xfId="83"/>
    <cellStyle name="#,##0 2" xfId="84"/>
    <cellStyle name="#,##0 3" xfId="85"/>
    <cellStyle name="#,##0 4" xfId="86"/>
    <cellStyle name="%" xfId="6175"/>
    <cellStyle name="." xfId="87"/>
    <cellStyle name=". 2" xfId="88"/>
    <cellStyle name=". 3" xfId="2798"/>
    <cellStyle name=".d©y" xfId="89"/>
    <cellStyle name=".d©y 2" xfId="90"/>
    <cellStyle name="??" xfId="91"/>
    <cellStyle name="?? [ - ??1" xfId="6176"/>
    <cellStyle name="?? [ - ??2" xfId="6177"/>
    <cellStyle name="?? [ - ??3" xfId="6178"/>
    <cellStyle name="?? [ - ??4" xfId="6179"/>
    <cellStyle name="?? [ - ??5" xfId="6180"/>
    <cellStyle name="?? [ - ??6" xfId="6181"/>
    <cellStyle name="?? [ - ??7" xfId="6182"/>
    <cellStyle name="?? [ - ??8" xfId="6183"/>
    <cellStyle name="?? [0.00]_        " xfId="6184"/>
    <cellStyle name="?? [0]" xfId="92"/>
    <cellStyle name="?? [0] 2" xfId="93"/>
    <cellStyle name="?? [0] 3" xfId="94"/>
    <cellStyle name="?? 10" xfId="95"/>
    <cellStyle name="?? 100" xfId="96"/>
    <cellStyle name="?? 101" xfId="97"/>
    <cellStyle name="?? 102" xfId="98"/>
    <cellStyle name="?? 103" xfId="99"/>
    <cellStyle name="?? 104" xfId="100"/>
    <cellStyle name="?? 105" xfId="101"/>
    <cellStyle name="?? 106" xfId="102"/>
    <cellStyle name="?? 107" xfId="103"/>
    <cellStyle name="?? 108" xfId="104"/>
    <cellStyle name="?? 109" xfId="105"/>
    <cellStyle name="?? 11" xfId="106"/>
    <cellStyle name="?? 110" xfId="107"/>
    <cellStyle name="?? 111" xfId="108"/>
    <cellStyle name="?? 112" xfId="109"/>
    <cellStyle name="?? 113" xfId="110"/>
    <cellStyle name="?? 114" xfId="111"/>
    <cellStyle name="?? 115" xfId="112"/>
    <cellStyle name="?? 116" xfId="113"/>
    <cellStyle name="?? 117" xfId="114"/>
    <cellStyle name="?? 118" xfId="115"/>
    <cellStyle name="?? 119" xfId="116"/>
    <cellStyle name="?? 12" xfId="117"/>
    <cellStyle name="?? 120" xfId="118"/>
    <cellStyle name="?? 121" xfId="119"/>
    <cellStyle name="?? 122" xfId="120"/>
    <cellStyle name="?? 123" xfId="121"/>
    <cellStyle name="?? 124" xfId="122"/>
    <cellStyle name="?? 125" xfId="123"/>
    <cellStyle name="?? 126" xfId="124"/>
    <cellStyle name="?? 127" xfId="125"/>
    <cellStyle name="?? 128" xfId="126"/>
    <cellStyle name="?? 129" xfId="127"/>
    <cellStyle name="?? 13" xfId="128"/>
    <cellStyle name="?? 130" xfId="129"/>
    <cellStyle name="?? 131" xfId="130"/>
    <cellStyle name="?? 132" xfId="131"/>
    <cellStyle name="?? 133" xfId="132"/>
    <cellStyle name="?? 134" xfId="133"/>
    <cellStyle name="?? 135" xfId="134"/>
    <cellStyle name="?? 136" xfId="135"/>
    <cellStyle name="?? 137" xfId="136"/>
    <cellStyle name="?? 138" xfId="137"/>
    <cellStyle name="?? 139" xfId="138"/>
    <cellStyle name="?? 14" xfId="139"/>
    <cellStyle name="?? 140" xfId="140"/>
    <cellStyle name="?? 141" xfId="141"/>
    <cellStyle name="?? 142" xfId="142"/>
    <cellStyle name="?? 143" xfId="143"/>
    <cellStyle name="?? 144" xfId="144"/>
    <cellStyle name="?? 145" xfId="145"/>
    <cellStyle name="?? 146" xfId="146"/>
    <cellStyle name="?? 147" xfId="147"/>
    <cellStyle name="?? 148" xfId="148"/>
    <cellStyle name="?? 149" xfId="149"/>
    <cellStyle name="?? 15" xfId="150"/>
    <cellStyle name="?? 150" xfId="151"/>
    <cellStyle name="?? 151" xfId="152"/>
    <cellStyle name="?? 152" xfId="153"/>
    <cellStyle name="?? 153" xfId="154"/>
    <cellStyle name="?? 154" xfId="155"/>
    <cellStyle name="?? 155" xfId="156"/>
    <cellStyle name="?? 156" xfId="157"/>
    <cellStyle name="?? 157" xfId="158"/>
    <cellStyle name="?? 158" xfId="159"/>
    <cellStyle name="?? 159" xfId="160"/>
    <cellStyle name="?? 16" xfId="161"/>
    <cellStyle name="?? 160" xfId="162"/>
    <cellStyle name="?? 161" xfId="163"/>
    <cellStyle name="?? 162" xfId="164"/>
    <cellStyle name="?? 163" xfId="165"/>
    <cellStyle name="?? 164" xfId="166"/>
    <cellStyle name="?? 165" xfId="167"/>
    <cellStyle name="?? 166" xfId="168"/>
    <cellStyle name="?? 167" xfId="169"/>
    <cellStyle name="?? 168" xfId="170"/>
    <cellStyle name="?? 169" xfId="171"/>
    <cellStyle name="?? 17" xfId="172"/>
    <cellStyle name="?? 170" xfId="173"/>
    <cellStyle name="?? 171" xfId="174"/>
    <cellStyle name="?? 172" xfId="175"/>
    <cellStyle name="?? 173" xfId="176"/>
    <cellStyle name="?? 174" xfId="177"/>
    <cellStyle name="?? 175" xfId="178"/>
    <cellStyle name="?? 176" xfId="179"/>
    <cellStyle name="?? 177" xfId="180"/>
    <cellStyle name="?? 178" xfId="181"/>
    <cellStyle name="?? 179" xfId="182"/>
    <cellStyle name="?? 18" xfId="183"/>
    <cellStyle name="?? 180" xfId="184"/>
    <cellStyle name="?? 181" xfId="185"/>
    <cellStyle name="?? 182" xfId="186"/>
    <cellStyle name="?? 183" xfId="187"/>
    <cellStyle name="?? 184" xfId="188"/>
    <cellStyle name="?? 185" xfId="189"/>
    <cellStyle name="?? 186" xfId="190"/>
    <cellStyle name="?? 187" xfId="191"/>
    <cellStyle name="?? 188" xfId="192"/>
    <cellStyle name="?? 189" xfId="193"/>
    <cellStyle name="?? 19" xfId="194"/>
    <cellStyle name="?? 190" xfId="195"/>
    <cellStyle name="?? 191" xfId="196"/>
    <cellStyle name="?? 192" xfId="197"/>
    <cellStyle name="?? 193" xfId="198"/>
    <cellStyle name="?? 194" xfId="199"/>
    <cellStyle name="?? 195" xfId="200"/>
    <cellStyle name="?? 196" xfId="201"/>
    <cellStyle name="?? 197" xfId="202"/>
    <cellStyle name="?? 198" xfId="203"/>
    <cellStyle name="?? 199" xfId="204"/>
    <cellStyle name="?? 2" xfId="205"/>
    <cellStyle name="?? 20" xfId="206"/>
    <cellStyle name="?? 200" xfId="207"/>
    <cellStyle name="?? 201" xfId="208"/>
    <cellStyle name="?? 202" xfId="209"/>
    <cellStyle name="?? 203" xfId="210"/>
    <cellStyle name="?? 204" xfId="211"/>
    <cellStyle name="?? 205" xfId="212"/>
    <cellStyle name="?? 206" xfId="213"/>
    <cellStyle name="?? 207" xfId="214"/>
    <cellStyle name="?? 208" xfId="215"/>
    <cellStyle name="?? 209" xfId="216"/>
    <cellStyle name="?? 21" xfId="217"/>
    <cellStyle name="?? 210" xfId="218"/>
    <cellStyle name="?? 211" xfId="219"/>
    <cellStyle name="?? 212" xfId="220"/>
    <cellStyle name="?? 213" xfId="221"/>
    <cellStyle name="?? 214" xfId="222"/>
    <cellStyle name="?? 215" xfId="223"/>
    <cellStyle name="?? 216" xfId="224"/>
    <cellStyle name="?? 217" xfId="225"/>
    <cellStyle name="?? 218" xfId="226"/>
    <cellStyle name="?? 219" xfId="227"/>
    <cellStyle name="?? 22" xfId="228"/>
    <cellStyle name="?? 220" xfId="229"/>
    <cellStyle name="?? 221" xfId="230"/>
    <cellStyle name="?? 222" xfId="231"/>
    <cellStyle name="?? 223" xfId="232"/>
    <cellStyle name="?? 224" xfId="233"/>
    <cellStyle name="?? 225" xfId="234"/>
    <cellStyle name="?? 226" xfId="235"/>
    <cellStyle name="?? 227" xfId="236"/>
    <cellStyle name="?? 228" xfId="237"/>
    <cellStyle name="?? 229" xfId="238"/>
    <cellStyle name="?? 23" xfId="239"/>
    <cellStyle name="?? 230" xfId="240"/>
    <cellStyle name="?? 231" xfId="241"/>
    <cellStyle name="?? 232" xfId="242"/>
    <cellStyle name="?? 233" xfId="243"/>
    <cellStyle name="?? 234" xfId="244"/>
    <cellStyle name="?? 235" xfId="245"/>
    <cellStyle name="?? 236" xfId="246"/>
    <cellStyle name="?? 237" xfId="247"/>
    <cellStyle name="?? 238" xfId="248"/>
    <cellStyle name="?? 239" xfId="249"/>
    <cellStyle name="?? 24" xfId="250"/>
    <cellStyle name="?? 240" xfId="251"/>
    <cellStyle name="?? 241" xfId="252"/>
    <cellStyle name="?? 242" xfId="253"/>
    <cellStyle name="?? 25" xfId="254"/>
    <cellStyle name="?? 26" xfId="255"/>
    <cellStyle name="?? 27" xfId="256"/>
    <cellStyle name="?? 28" xfId="257"/>
    <cellStyle name="?? 29" xfId="258"/>
    <cellStyle name="?? 3" xfId="259"/>
    <cellStyle name="?? 30" xfId="260"/>
    <cellStyle name="?? 31" xfId="261"/>
    <cellStyle name="?? 32" xfId="262"/>
    <cellStyle name="?? 33" xfId="263"/>
    <cellStyle name="?? 34" xfId="264"/>
    <cellStyle name="?? 35" xfId="265"/>
    <cellStyle name="?? 36" xfId="266"/>
    <cellStyle name="?? 37" xfId="267"/>
    <cellStyle name="?? 38" xfId="268"/>
    <cellStyle name="?? 39" xfId="269"/>
    <cellStyle name="?? 4" xfId="270"/>
    <cellStyle name="?? 40" xfId="271"/>
    <cellStyle name="?? 41" xfId="272"/>
    <cellStyle name="?? 42" xfId="273"/>
    <cellStyle name="?? 43" xfId="274"/>
    <cellStyle name="?? 44" xfId="275"/>
    <cellStyle name="?? 45" xfId="276"/>
    <cellStyle name="?? 46" xfId="277"/>
    <cellStyle name="?? 47" xfId="278"/>
    <cellStyle name="?? 48" xfId="279"/>
    <cellStyle name="?? 49" xfId="280"/>
    <cellStyle name="?? 5" xfId="281"/>
    <cellStyle name="?? 50" xfId="282"/>
    <cellStyle name="?? 51" xfId="283"/>
    <cellStyle name="?? 52" xfId="284"/>
    <cellStyle name="?? 53" xfId="285"/>
    <cellStyle name="?? 54" xfId="286"/>
    <cellStyle name="?? 55" xfId="287"/>
    <cellStyle name="?? 56" xfId="288"/>
    <cellStyle name="?? 57" xfId="289"/>
    <cellStyle name="?? 58" xfId="290"/>
    <cellStyle name="?? 59" xfId="291"/>
    <cellStyle name="?? 6" xfId="292"/>
    <cellStyle name="?? 60" xfId="293"/>
    <cellStyle name="?? 61" xfId="294"/>
    <cellStyle name="?? 62" xfId="295"/>
    <cellStyle name="?? 63" xfId="296"/>
    <cellStyle name="?? 64" xfId="297"/>
    <cellStyle name="?? 65" xfId="298"/>
    <cellStyle name="?? 66" xfId="299"/>
    <cellStyle name="?? 67" xfId="300"/>
    <cellStyle name="?? 68" xfId="301"/>
    <cellStyle name="?? 69" xfId="302"/>
    <cellStyle name="?? 7" xfId="303"/>
    <cellStyle name="?? 70" xfId="304"/>
    <cellStyle name="?? 71" xfId="305"/>
    <cellStyle name="?? 72" xfId="306"/>
    <cellStyle name="?? 73" xfId="307"/>
    <cellStyle name="?? 74" xfId="308"/>
    <cellStyle name="?? 75" xfId="309"/>
    <cellStyle name="?? 76" xfId="310"/>
    <cellStyle name="?? 77" xfId="311"/>
    <cellStyle name="?? 78" xfId="312"/>
    <cellStyle name="?? 79" xfId="313"/>
    <cellStyle name="?? 8" xfId="314"/>
    <cellStyle name="?? 80" xfId="315"/>
    <cellStyle name="?? 81" xfId="316"/>
    <cellStyle name="?? 82" xfId="317"/>
    <cellStyle name="?? 83" xfId="318"/>
    <cellStyle name="?? 84" xfId="319"/>
    <cellStyle name="?? 85" xfId="320"/>
    <cellStyle name="?? 86" xfId="321"/>
    <cellStyle name="?? 87" xfId="322"/>
    <cellStyle name="?? 88" xfId="323"/>
    <cellStyle name="?? 89" xfId="324"/>
    <cellStyle name="?? 9" xfId="325"/>
    <cellStyle name="?? 90" xfId="326"/>
    <cellStyle name="?? 91" xfId="327"/>
    <cellStyle name="?? 92" xfId="328"/>
    <cellStyle name="?? 93" xfId="329"/>
    <cellStyle name="?? 94" xfId="330"/>
    <cellStyle name="?? 95" xfId="331"/>
    <cellStyle name="?? 96" xfId="332"/>
    <cellStyle name="?? 97" xfId="333"/>
    <cellStyle name="?? 98" xfId="334"/>
    <cellStyle name="?? 99" xfId="335"/>
    <cellStyle name="?_x001d_??%U©÷u&amp;H©÷9_x0008_? s_x000a__x0007__x0001__x0001_" xfId="336"/>
    <cellStyle name="?_x001d_??%U©÷u&amp;H©÷9_x0008_? s_x000a__x0007__x0001__x0001_ 10" xfId="2799"/>
    <cellStyle name="?_x001d_??%U©÷u&amp;H©÷9_x0008_? s_x000a__x0007__x0001__x0001_ 11" xfId="2800"/>
    <cellStyle name="?_x001d_??%U©÷u&amp;H©÷9_x0008_? s_x000a__x0007__x0001__x0001_ 12" xfId="2801"/>
    <cellStyle name="?_x001d_??%U©÷u&amp;H©÷9_x0008_? s_x000a__x0007__x0001__x0001_ 13" xfId="2802"/>
    <cellStyle name="?_x001d_??%U©÷u&amp;H©÷9_x0008_? s_x000a__x0007__x0001__x0001_ 14" xfId="2803"/>
    <cellStyle name="?_x001d_??%U©÷u&amp;H©÷9_x0008_? s_x000a__x0007__x0001__x0001_ 15" xfId="2804"/>
    <cellStyle name="?_x001d_??%U©÷u&amp;H©÷9_x0008_? s_x000a__x0007__x0001__x0001_ 2" xfId="2805"/>
    <cellStyle name="?_x001d_??%U©÷u&amp;H©÷9_x0008_? s_x000a__x0007__x0001__x0001_ 3" xfId="2806"/>
    <cellStyle name="?_x001d_??%U©÷u&amp;H©÷9_x0008_? s_x000a__x0007__x0001__x0001_ 4" xfId="2807"/>
    <cellStyle name="?_x001d_??%U©÷u&amp;H©÷9_x0008_? s_x000a__x0007__x0001__x0001_ 5" xfId="2808"/>
    <cellStyle name="?_x001d_??%U©÷u&amp;H©÷9_x0008_? s_x000a__x0007__x0001__x0001_ 6" xfId="2809"/>
    <cellStyle name="?_x001d_??%U©÷u&amp;H©÷9_x0008_? s_x000a__x0007__x0001__x0001_ 7" xfId="2810"/>
    <cellStyle name="?_x001d_??%U©÷u&amp;H©÷9_x0008_? s_x000a__x0007__x0001__x0001_ 8" xfId="2811"/>
    <cellStyle name="?_x001d_??%U©÷u&amp;H©÷9_x0008_? s_x000a__x0007__x0001__x0001_ 9" xfId="2812"/>
    <cellStyle name="?_x001d_??%U©÷u&amp;H©÷9_x0008_?_x0009_s_x000a__x0007__x0001__x0001_" xfId="6170"/>
    <cellStyle name="?_x001d_??%U©÷u&amp;H©÷9_x0008_?_x0009_s_x000a__x0007__x0001__x0001_?_x0002_???????????????_x0001_(_x0002_u_x000d_?????_x001f_????????_x0007_????????????????!???????????           ?????           ?????????_x000d_C:\WINDOWS\country.sys_x000d_??????????????????????????????????????????????????????????????????????????????????????????????" xfId="6185"/>
    <cellStyle name="???? [0.00]_      " xfId="2813"/>
    <cellStyle name="??????" xfId="337"/>
    <cellStyle name="?????? 2" xfId="338"/>
    <cellStyle name="????[0]_Sheet1" xfId="339"/>
    <cellStyle name="????_      " xfId="2814"/>
    <cellStyle name="???[0]_?? DI" xfId="340"/>
    <cellStyle name="???_?? DI" xfId="341"/>
    <cellStyle name="?_x0010__x0001_??Pr" xfId="6186"/>
    <cellStyle name="??[0]_BRE" xfId="342"/>
    <cellStyle name="??_      " xfId="2815"/>
    <cellStyle name="??9JS—_x0008_??????????????????H_x0001_????&lt;i·0??????????_x0007_?_x0010__x0001_??Thongso??9JS—_x0008_??????????????????‚_x0001_?" xfId="6187"/>
    <cellStyle name="??A? [0]_laroux_1_¢¬???¢â? " xfId="343"/>
    <cellStyle name="??A?_laroux_1_¢¬???¢â? " xfId="344"/>
    <cellStyle name="_x0001_??Thanh_phan?9š" xfId="6188"/>
    <cellStyle name="?_x005f_x001d_??%U©÷u&amp;H©÷9_x005f_x0008_? s_x005f_x000a__x005f_x0007__x005f_x0001__x005f_x0001_" xfId="2816"/>
    <cellStyle name="?_x005f_x001d_??%U©÷u&amp;H©÷9_x005f_x0008_?_x005f_x0009_s_x005f_x000a__x005f_x0007__x005f_x0001__x005f_x0001_" xfId="2817"/>
    <cellStyle name="?_x005f_x005f_x005f_x001d_??%U©÷u&amp;H©÷9_x005f_x005f_x005f_x0008_? s_x005f_x005f_x005f_x000a__x005f_x005f_x005f_x0007__x005f_x005f_x005f_x0001__x005f_x005f_x005f_x0001_" xfId="2818"/>
    <cellStyle name="?¡±¢¥?_?¨ù??¢´¢¥_¢¬???¢â? " xfId="345"/>
    <cellStyle name="?10" xfId="6189"/>
    <cellStyle name="?13" xfId="6190"/>
    <cellStyle name="?ðÇ%U?&amp;H?_x0008_?s_x000a__x0007__x0001__x0001_" xfId="346"/>
    <cellStyle name="?ðÇ%U?&amp;H?_x0008_?s_x000a__x0007__x0001__x0001_ 10" xfId="2819"/>
    <cellStyle name="?ðÇ%U?&amp;H?_x0008_?s_x000a__x0007__x0001__x0001_ 11" xfId="2820"/>
    <cellStyle name="?ðÇ%U?&amp;H?_x0008_?s_x000a__x0007__x0001__x0001_ 12" xfId="2821"/>
    <cellStyle name="?ðÇ%U?&amp;H?_x0008_?s_x000a__x0007__x0001__x0001_ 13" xfId="2822"/>
    <cellStyle name="?ðÇ%U?&amp;H?_x0008_?s_x000a__x0007__x0001__x0001_ 14" xfId="2823"/>
    <cellStyle name="?ðÇ%U?&amp;H?_x0008_?s_x000a__x0007__x0001__x0001_ 15" xfId="2824"/>
    <cellStyle name="?ðÇ%U?&amp;H?_x0008_?s_x000a__x0007__x0001__x0001_ 2" xfId="2825"/>
    <cellStyle name="?ðÇ%U?&amp;H?_x0008_?s_x000a__x0007__x0001__x0001_ 3" xfId="2826"/>
    <cellStyle name="?ðÇ%U?&amp;H?_x0008_?s_x000a__x0007__x0001__x0001_ 4" xfId="2827"/>
    <cellStyle name="?ðÇ%U?&amp;H?_x0008_?s_x000a__x0007__x0001__x0001_ 5" xfId="2828"/>
    <cellStyle name="?ðÇ%U?&amp;H?_x0008_?s_x000a__x0007__x0001__x0001_ 6" xfId="2829"/>
    <cellStyle name="?ðÇ%U?&amp;H?_x0008_?s_x000a__x0007__x0001__x0001_ 7" xfId="2830"/>
    <cellStyle name="?ðÇ%U?&amp;H?_x0008_?s_x000a__x0007__x0001__x0001_ 8" xfId="2831"/>
    <cellStyle name="?ðÇ%U?&amp;H?_x0008_?s_x000a__x0007__x0001__x0001_ 9" xfId="2832"/>
    <cellStyle name="?ðÇ%U?&amp;H?_x0008_?s_x000a__x0007__x0001__x0001_?_x0002_ÿÿÿÿÿÿÿÿÿÿÿÿÿÿÿ_x0001_(_x0002_?€????ÿÿÿÿ????_x0007_??????????????????????????           ?????           ?????????_x000d_C:\WINDOWS\country.sys_x000d_??????????????????????????????????????????????????????????????????????????????????????????????" xfId="6191"/>
    <cellStyle name="?ðÇ%U?&amp;H?_x0008_?s_x000a__x0007__x0001__x0001_?_x0002_ÿÿÿÿÿÿÿÿÿÿÿÿÿÿÿ_x0001_(_x0002_?????ÿÿÿÿ????_x0007_??????????????????????????           ?????           ?????????_x000d_C:\WINDOWS\country.sys_x000d_??????????????????????????????????????????????????????????????????????????????????????????????" xfId="6192"/>
    <cellStyle name="?ðÇ%U?&amp;H?_x005f_x0008_?s_x005f_x000a__x005f_x0007__x005f_x0001__x005f_x0001_" xfId="2833"/>
    <cellStyle name="?I?I?_x0001_??j?_x0008_?h_x0001__x000c__x000c__x0002__x0002__x000c_!Comma [0]_Chi phÝ kh¸c_B¶ng 1 (2)?G_x001d_Comma [0]_Chi phÝ kh¸c_B¶ng 2?G$Comma [0]_Ch" xfId="6193"/>
    <cellStyle name="?Sums?9^R—_x0008_????????????????????N_x0004__x0002__x0003_1?_x0014_" xfId="6194"/>
    <cellStyle name="@ET_Style?.font5" xfId="2834"/>
    <cellStyle name="[0]_Chi phÝ kh¸c_V" xfId="2835"/>
    <cellStyle name="_!1 1 bao cao giao KH ve HTCMT vung TNB   12-12-2011" xfId="2836"/>
    <cellStyle name="_1 TONG HOP - CA NA" xfId="347"/>
    <cellStyle name="_123_DONG_THANH_Moi" xfId="2837"/>
    <cellStyle name="_123_DONG_THANH_Moi_!1 1 bao cao giao KH ve HTCMT vung TNB   12-12-2011" xfId="2838"/>
    <cellStyle name="_123_DONG_THANH_Moi_KH TPCP vung TNB (03-1-2012)" xfId="2839"/>
    <cellStyle name="_Au-De cuong va du toan Cau Số 2 phuoc long" xfId="6195"/>
    <cellStyle name="_Au-De_cuong_va_du_toan_Hoa_Binh" xfId="6196"/>
    <cellStyle name="_Bang Chi tieu (2)" xfId="348"/>
    <cellStyle name="_Bang Chi tieu (2)?_x001c_Comma [0]_Chi phÝ kh¸c_Book1?!Comma [0]_Chi phÝ kh¸c_Liªn ChiÓu?b_x001e_Comma [0]_Chi" xfId="6197"/>
    <cellStyle name="_Bang Chi tieu (2)?_x001c_Comma [0]_Chi phÝ kh¸c_Book1?!Comma [0]_Chi phÝ kh¸c_Liªn ChiÓu?b_x001e_Comma [0]_Chi_STANDARD FILE" xfId="6198"/>
    <cellStyle name="_Bang Chi tieu (2)_STANDARD FILE" xfId="6199"/>
    <cellStyle name="_Bao Gia 08" xfId="6200"/>
    <cellStyle name="_BAO GIA NGAY 24-10-08 (co dam)" xfId="349"/>
    <cellStyle name="_BC  NAM 2007" xfId="2840"/>
    <cellStyle name="_BC CV 6403 BKHĐT" xfId="2841"/>
    <cellStyle name="_BC thuc hien KH 2009" xfId="2842"/>
    <cellStyle name="_BC thuc hien KH 2009_15_10_2013 BC nhu cau von doi ung ODA (2014-2016) ngay 15102013 Sua" xfId="2843"/>
    <cellStyle name="_BC thuc hien KH 2009_BC nhu cau von doi ung ODA nganh NN (BKH)" xfId="2844"/>
    <cellStyle name="_BC thuc hien KH 2009_BC nhu cau von doi ung ODA nganh NN (BKH)_05-12  KH trung han 2016-2020 - Liem Thinh edited" xfId="2845"/>
    <cellStyle name="_BC thuc hien KH 2009_BC nhu cau von doi ung ODA nganh NN (BKH)_Copy of 05-12  KH trung han 2016-2020 - Liem Thinh edited (1)" xfId="2846"/>
    <cellStyle name="_BC thuc hien KH 2009_BC Tai co cau (bieu TH)" xfId="2847"/>
    <cellStyle name="_BC thuc hien KH 2009_BC Tai co cau (bieu TH)_05-12  KH trung han 2016-2020 - Liem Thinh edited" xfId="2848"/>
    <cellStyle name="_BC thuc hien KH 2009_BC Tai co cau (bieu TH)_Copy of 05-12  KH trung han 2016-2020 - Liem Thinh edited (1)" xfId="2849"/>
    <cellStyle name="_BC thuc hien KH 2009_DK 2014-2015 final" xfId="2850"/>
    <cellStyle name="_BC thuc hien KH 2009_DK 2014-2015 final_05-12  KH trung han 2016-2020 - Liem Thinh edited" xfId="2851"/>
    <cellStyle name="_BC thuc hien KH 2009_DK 2014-2015 final_Copy of 05-12  KH trung han 2016-2020 - Liem Thinh edited (1)" xfId="2852"/>
    <cellStyle name="_BC thuc hien KH 2009_DK 2014-2015 new" xfId="2853"/>
    <cellStyle name="_BC thuc hien KH 2009_DK 2014-2015 new_05-12  KH trung han 2016-2020 - Liem Thinh edited" xfId="2854"/>
    <cellStyle name="_BC thuc hien KH 2009_DK 2014-2015 new_Copy of 05-12  KH trung han 2016-2020 - Liem Thinh edited (1)" xfId="2855"/>
    <cellStyle name="_BC thuc hien KH 2009_DK KH CBDT 2014 11-11-2013" xfId="2856"/>
    <cellStyle name="_BC thuc hien KH 2009_DK KH CBDT 2014 11-11-2013(1)" xfId="2857"/>
    <cellStyle name="_BC thuc hien KH 2009_DK KH CBDT 2014 11-11-2013(1)_05-12  KH trung han 2016-2020 - Liem Thinh edited" xfId="2858"/>
    <cellStyle name="_BC thuc hien KH 2009_DK KH CBDT 2014 11-11-2013(1)_Copy of 05-12  KH trung han 2016-2020 - Liem Thinh edited (1)" xfId="2859"/>
    <cellStyle name="_BC thuc hien KH 2009_DK KH CBDT 2014 11-11-2013_05-12  KH trung han 2016-2020 - Liem Thinh edited" xfId="2860"/>
    <cellStyle name="_BC thuc hien KH 2009_DK KH CBDT 2014 11-11-2013_Copy of 05-12  KH trung han 2016-2020 - Liem Thinh edited (1)" xfId="2861"/>
    <cellStyle name="_BC thuc hien KH 2009_KH 2011-2015" xfId="2862"/>
    <cellStyle name="_BC thuc hien KH 2009_tai co cau dau tu (tong hop)1" xfId="2863"/>
    <cellStyle name="_BEN TRE" xfId="2864"/>
    <cellStyle name="_Bieu mau cong trinh khoi cong moi 3-4" xfId="2865"/>
    <cellStyle name="_Bieu Tay Nam Bo 25-11" xfId="2866"/>
    <cellStyle name="_Bieu3ODA" xfId="2867"/>
    <cellStyle name="_Bieu3ODA_1" xfId="2868"/>
    <cellStyle name="_Bieu4HTMT" xfId="2869"/>
    <cellStyle name="_Bieu4HTMT_!1 1 bao cao giao KH ve HTCMT vung TNB   12-12-2011" xfId="2870"/>
    <cellStyle name="_Bieu4HTMT_KH TPCP vung TNB (03-1-2012)" xfId="2871"/>
    <cellStyle name="_Book1" xfId="350"/>
    <cellStyle name="_Book1 2" xfId="351"/>
    <cellStyle name="_Book1_!1 1 bao cao giao KH ve HTCMT vung TNB   12-12-2011" xfId="2872"/>
    <cellStyle name="_Book1_1" xfId="2873"/>
    <cellStyle name="_Book1_1_STANDARD FILE" xfId="6201"/>
    <cellStyle name="_Book1_BC-QT-WB-dthao" xfId="2874"/>
    <cellStyle name="_Book1_BC-QT-WB-dthao_05-12  KH trung han 2016-2020 - Liem Thinh edited" xfId="2875"/>
    <cellStyle name="_Book1_BC-QT-WB-dthao_Copy of 05-12  KH trung han 2016-2020 - Liem Thinh edited (1)" xfId="2876"/>
    <cellStyle name="_Book1_BC-QT-WB-dthao_KH TPCP 2016-2020 (tong hop)" xfId="2877"/>
    <cellStyle name="_Book1_Bieu3ODA" xfId="2878"/>
    <cellStyle name="_Book1_Bieu4HTMT" xfId="2879"/>
    <cellStyle name="_Book1_Bieu4HTMT_!1 1 bao cao giao KH ve HTCMT vung TNB   12-12-2011" xfId="2880"/>
    <cellStyle name="_Book1_Bieu4HTMT_KH TPCP vung TNB (03-1-2012)" xfId="2881"/>
    <cellStyle name="_Book1_bo sung von KCH nam 2010 va Du an tre kho khan" xfId="2882"/>
    <cellStyle name="_Book1_bo sung von KCH nam 2010 va Du an tre kho khan_!1 1 bao cao giao KH ve HTCMT vung TNB   12-12-2011" xfId="2883"/>
    <cellStyle name="_Book1_bo sung von KCH nam 2010 va Du an tre kho khan_KH TPCP vung TNB (03-1-2012)" xfId="2884"/>
    <cellStyle name="_Book1_cong hang rao" xfId="2885"/>
    <cellStyle name="_Book1_cong hang rao_!1 1 bao cao giao KH ve HTCMT vung TNB   12-12-2011" xfId="2886"/>
    <cellStyle name="_Book1_cong hang rao_KH TPCP vung TNB (03-1-2012)" xfId="2887"/>
    <cellStyle name="_Book1_danh muc chuan bi dau tu 2011 ngay 07-6-2011" xfId="2888"/>
    <cellStyle name="_Book1_danh muc chuan bi dau tu 2011 ngay 07-6-2011_!1 1 bao cao giao KH ve HTCMT vung TNB   12-12-2011" xfId="2889"/>
    <cellStyle name="_Book1_danh muc chuan bi dau tu 2011 ngay 07-6-2011_KH TPCP vung TNB (03-1-2012)" xfId="2890"/>
    <cellStyle name="_Book1_Danh muc pbo nguon von XSKT, XDCB nam 2009 chuyen qua nam 2010" xfId="2891"/>
    <cellStyle name="_Book1_Danh muc pbo nguon von XSKT, XDCB nam 2009 chuyen qua nam 2010_!1 1 bao cao giao KH ve HTCMT vung TNB   12-12-2011" xfId="2892"/>
    <cellStyle name="_Book1_Danh muc pbo nguon von XSKT, XDCB nam 2009 chuyen qua nam 2010_KH TPCP vung TNB (03-1-2012)" xfId="2893"/>
    <cellStyle name="_Book1_dieu chinh KH 2011 ngay 26-5-2011111" xfId="2894"/>
    <cellStyle name="_Book1_dieu chinh KH 2011 ngay 26-5-2011111_!1 1 bao cao giao KH ve HTCMT vung TNB   12-12-2011" xfId="2895"/>
    <cellStyle name="_Book1_dieu chinh KH 2011 ngay 26-5-2011111_KH TPCP vung TNB (03-1-2012)" xfId="2896"/>
    <cellStyle name="_Book1_DS KCH PHAN BO VON NSDP NAM 2010" xfId="2897"/>
    <cellStyle name="_Book1_DS KCH PHAN BO VON NSDP NAM 2010_!1 1 bao cao giao KH ve HTCMT vung TNB   12-12-2011" xfId="2898"/>
    <cellStyle name="_Book1_DS KCH PHAN BO VON NSDP NAM 2010_KH TPCP vung TNB (03-1-2012)" xfId="2899"/>
    <cellStyle name="_Book1_giao KH 2011 ngay 10-12-2010" xfId="2900"/>
    <cellStyle name="_Book1_giao KH 2011 ngay 10-12-2010_!1 1 bao cao giao KH ve HTCMT vung TNB   12-12-2011" xfId="2901"/>
    <cellStyle name="_Book1_giao KH 2011 ngay 10-12-2010_KH TPCP vung TNB (03-1-2012)" xfId="2902"/>
    <cellStyle name="_Book1_IN" xfId="2903"/>
    <cellStyle name="_Book1_Kh ql62 (2010) 11-09" xfId="352"/>
    <cellStyle name="_Book1_KH TPCP vung TNB (03-1-2012)" xfId="2905"/>
    <cellStyle name="_Book1_Khung 2012" xfId="2906"/>
    <cellStyle name="_Book1_kien giang 2" xfId="2904"/>
    <cellStyle name="_Book1_phu luc tong ket tinh hinh TH giai doan 03-10 (ngay 30)" xfId="2907"/>
    <cellStyle name="_Book1_phu luc tong ket tinh hinh TH giai doan 03-10 (ngay 30)_!1 1 bao cao giao KH ve HTCMT vung TNB   12-12-2011" xfId="2908"/>
    <cellStyle name="_Book1_phu luc tong ket tinh hinh TH giai doan 03-10 (ngay 30)_KH TPCP vung TNB (03-1-2012)" xfId="2909"/>
    <cellStyle name="_Book1_STANDARD FILE" xfId="6202"/>
    <cellStyle name="_Book1_TKHC-THOIQUAN-05-04-2004" xfId="6203"/>
    <cellStyle name="_Book1_TKHC-THOIQUAN-05-04-2004_STANDARD FILE" xfId="6204"/>
    <cellStyle name="_C CHIN TUYEN" xfId="6205"/>
    <cellStyle name="_C CHIN TUYEN_STANDARD FILE" xfId="6206"/>
    <cellStyle name="_C.cong+B.luong-Sanluong" xfId="353"/>
    <cellStyle name="_CHI PHI KS GDTK KENH CAU SO 2-PL" xfId="6209"/>
    <cellStyle name="_CHI PHI KS GDTK KENH HOA BINH" xfId="6210"/>
    <cellStyle name="_cong hang rao" xfId="2910"/>
    <cellStyle name="_Copy of CAU CHIN TUYEN" xfId="6207"/>
    <cellStyle name="_Copy of CAU CHIN TUYEN_STANDARD FILE" xfId="6208"/>
    <cellStyle name="_dien chieu sang" xfId="2911"/>
    <cellStyle name="_DK KH 2009" xfId="2912"/>
    <cellStyle name="_DK KH 2009_15_10_2013 BC nhu cau von doi ung ODA (2014-2016) ngay 15102013 Sua" xfId="2913"/>
    <cellStyle name="_DK KH 2009_BC nhu cau von doi ung ODA nganh NN (BKH)" xfId="2914"/>
    <cellStyle name="_DK KH 2009_BC nhu cau von doi ung ODA nganh NN (BKH)_05-12  KH trung han 2016-2020 - Liem Thinh edited" xfId="2915"/>
    <cellStyle name="_DK KH 2009_BC nhu cau von doi ung ODA nganh NN (BKH)_Copy of 05-12  KH trung han 2016-2020 - Liem Thinh edited (1)" xfId="2916"/>
    <cellStyle name="_DK KH 2009_BC Tai co cau (bieu TH)" xfId="2917"/>
    <cellStyle name="_DK KH 2009_BC Tai co cau (bieu TH)_05-12  KH trung han 2016-2020 - Liem Thinh edited" xfId="2918"/>
    <cellStyle name="_DK KH 2009_BC Tai co cau (bieu TH)_Copy of 05-12  KH trung han 2016-2020 - Liem Thinh edited (1)" xfId="2919"/>
    <cellStyle name="_DK KH 2009_DK 2014-2015 final" xfId="2920"/>
    <cellStyle name="_DK KH 2009_DK 2014-2015 final_05-12  KH trung han 2016-2020 - Liem Thinh edited" xfId="2921"/>
    <cellStyle name="_DK KH 2009_DK 2014-2015 final_Copy of 05-12  KH trung han 2016-2020 - Liem Thinh edited (1)" xfId="2922"/>
    <cellStyle name="_DK KH 2009_DK 2014-2015 new" xfId="2923"/>
    <cellStyle name="_DK KH 2009_DK 2014-2015 new_05-12  KH trung han 2016-2020 - Liem Thinh edited" xfId="2924"/>
    <cellStyle name="_DK KH 2009_DK 2014-2015 new_Copy of 05-12  KH trung han 2016-2020 - Liem Thinh edited (1)" xfId="2925"/>
    <cellStyle name="_DK KH 2009_DK KH CBDT 2014 11-11-2013" xfId="2926"/>
    <cellStyle name="_DK KH 2009_DK KH CBDT 2014 11-11-2013(1)" xfId="2927"/>
    <cellStyle name="_DK KH 2009_DK KH CBDT 2014 11-11-2013(1)_05-12  KH trung han 2016-2020 - Liem Thinh edited" xfId="2928"/>
    <cellStyle name="_DK KH 2009_DK KH CBDT 2014 11-11-2013(1)_Copy of 05-12  KH trung han 2016-2020 - Liem Thinh edited (1)" xfId="2929"/>
    <cellStyle name="_DK KH 2009_DK KH CBDT 2014 11-11-2013_05-12  KH trung han 2016-2020 - Liem Thinh edited" xfId="2930"/>
    <cellStyle name="_DK KH 2009_DK KH CBDT 2014 11-11-2013_Copy of 05-12  KH trung han 2016-2020 - Liem Thinh edited (1)" xfId="2931"/>
    <cellStyle name="_DK KH 2009_KH 2011-2015" xfId="2932"/>
    <cellStyle name="_DK KH 2009_tai co cau dau tu (tong hop)1" xfId="2933"/>
    <cellStyle name="_DK KH 2010" xfId="2934"/>
    <cellStyle name="_DK KH 2010 (BKH)" xfId="2935"/>
    <cellStyle name="_DK KH 2010_15_10_2013 BC nhu cau von doi ung ODA (2014-2016) ngay 15102013 Sua" xfId="2936"/>
    <cellStyle name="_DK KH 2010_BC nhu cau von doi ung ODA nganh NN (BKH)" xfId="2937"/>
    <cellStyle name="_DK KH 2010_BC nhu cau von doi ung ODA nganh NN (BKH)_05-12  KH trung han 2016-2020 - Liem Thinh edited" xfId="2938"/>
    <cellStyle name="_DK KH 2010_BC nhu cau von doi ung ODA nganh NN (BKH)_Copy of 05-12  KH trung han 2016-2020 - Liem Thinh edited (1)" xfId="2939"/>
    <cellStyle name="_DK KH 2010_BC Tai co cau (bieu TH)" xfId="2940"/>
    <cellStyle name="_DK KH 2010_BC Tai co cau (bieu TH)_05-12  KH trung han 2016-2020 - Liem Thinh edited" xfId="2941"/>
    <cellStyle name="_DK KH 2010_BC Tai co cau (bieu TH)_Copy of 05-12  KH trung han 2016-2020 - Liem Thinh edited (1)" xfId="2942"/>
    <cellStyle name="_DK KH 2010_DK 2014-2015 final" xfId="2943"/>
    <cellStyle name="_DK KH 2010_DK 2014-2015 final_05-12  KH trung han 2016-2020 - Liem Thinh edited" xfId="2944"/>
    <cellStyle name="_DK KH 2010_DK 2014-2015 final_Copy of 05-12  KH trung han 2016-2020 - Liem Thinh edited (1)" xfId="2945"/>
    <cellStyle name="_DK KH 2010_DK 2014-2015 new" xfId="2946"/>
    <cellStyle name="_DK KH 2010_DK 2014-2015 new_05-12  KH trung han 2016-2020 - Liem Thinh edited" xfId="2947"/>
    <cellStyle name="_DK KH 2010_DK 2014-2015 new_Copy of 05-12  KH trung han 2016-2020 - Liem Thinh edited (1)" xfId="2948"/>
    <cellStyle name="_DK KH 2010_DK KH CBDT 2014 11-11-2013" xfId="2949"/>
    <cellStyle name="_DK KH 2010_DK KH CBDT 2014 11-11-2013(1)" xfId="2950"/>
    <cellStyle name="_DK KH 2010_DK KH CBDT 2014 11-11-2013(1)_05-12  KH trung han 2016-2020 - Liem Thinh edited" xfId="2951"/>
    <cellStyle name="_DK KH 2010_DK KH CBDT 2014 11-11-2013(1)_Copy of 05-12  KH trung han 2016-2020 - Liem Thinh edited (1)" xfId="2952"/>
    <cellStyle name="_DK KH 2010_DK KH CBDT 2014 11-11-2013_05-12  KH trung han 2016-2020 - Liem Thinh edited" xfId="2953"/>
    <cellStyle name="_DK KH 2010_DK KH CBDT 2014 11-11-2013_Copy of 05-12  KH trung han 2016-2020 - Liem Thinh edited (1)" xfId="2954"/>
    <cellStyle name="_DK KH 2010_KH 2011-2015" xfId="2955"/>
    <cellStyle name="_DK KH 2010_tai co cau dau tu (tong hop)1" xfId="2956"/>
    <cellStyle name="_DK TPCP 2010" xfId="2957"/>
    <cellStyle name="_DMdieuchinh _1c" xfId="6211"/>
    <cellStyle name="_DMdieuchinh _1c_STANDARD FILE" xfId="6212"/>
    <cellStyle name="_DO-D1500-KHONG CO TRONG DT" xfId="354"/>
    <cellStyle name="_Dong Thap" xfId="2958"/>
    <cellStyle name="_DT CCAU SO 2" xfId="6213"/>
    <cellStyle name="_DT CCAU SO 2_STANDARD FILE" xfId="6214"/>
    <cellStyle name="_DTRTra10-06" xfId="6215"/>
    <cellStyle name="_DTRTra10-06_da sua - 4 DU TOAN CAU BAN KENH MUONG LO" xfId="6216"/>
    <cellStyle name="_DTRTra10-06_duong giong nhan ganh hao - cong ngang duong" xfId="6217"/>
    <cellStyle name="_DTRTra10-06_Duong Giong Nhan Ganh Hao - Duong giao thong" xfId="6218"/>
    <cellStyle name="_DTRTra10-06_KL-DH" xfId="6219"/>
    <cellStyle name="_DTRTra10-06_KL-DH_da sua - 4 DU TOAN CAU BAN KENH MUONG LO" xfId="6220"/>
    <cellStyle name="_DTRTra10-06_KL-DH_DT CONG-thamdinh" xfId="6221"/>
    <cellStyle name="_DTRTra10-06_KL-DHDM" xfId="6222"/>
    <cellStyle name="_DTRTra10-06_KL-DHDM_da sua - 4 DU TOAN CAU BAN KENH MUONG LO" xfId="6223"/>
    <cellStyle name="_DTRTra10-06_KL-DHDM_DT CONG-thamdinh" xfId="6224"/>
    <cellStyle name="_DTRTra10-06_KL-DHK" xfId="6225"/>
    <cellStyle name="_DTRTra10-06_KL-DHK_da sua - 4 DU TOAN CAU BAN KENH MUONG LO" xfId="6226"/>
    <cellStyle name="_DTRTra10-06_KL-DHK_DT CONG-thamdinh" xfId="6227"/>
    <cellStyle name="_DU TOAN bo bao ba lang" xfId="6228"/>
    <cellStyle name="_DU TOAN bo bao ba lang_STANDARD FILE" xfId="6229"/>
    <cellStyle name="_Du toan Mau" xfId="6230"/>
    <cellStyle name="_Du toan Mau_STANDARD FILE" xfId="6231"/>
    <cellStyle name="_Duyet TK thay đôi" xfId="355"/>
    <cellStyle name="_Duyet TK thay đôi 2" xfId="356"/>
    <cellStyle name="_Duyet TK thay đôi_!1 1 bao cao giao KH ve HTCMT vung TNB   12-12-2011" xfId="2959"/>
    <cellStyle name="_Duyet TK thay đôi_Bieu4HTMT" xfId="2960"/>
    <cellStyle name="_Duyet TK thay đôi_Bieu4HTMT_!1 1 bao cao giao KH ve HTCMT vung TNB   12-12-2011" xfId="2961"/>
    <cellStyle name="_Duyet TK thay đôi_Bieu4HTMT_KH TPCP vung TNB (03-1-2012)" xfId="2962"/>
    <cellStyle name="_Duyet TK thay đôi_KH TPCP vung TNB (03-1-2012)" xfId="2963"/>
    <cellStyle name="_GOITHAUSO2" xfId="357"/>
    <cellStyle name="_GOITHAUSO3" xfId="358"/>
    <cellStyle name="_GOITHAUSO4" xfId="359"/>
    <cellStyle name="_GT21_ CONG TIEU Þ60" xfId="6232"/>
    <cellStyle name="_GT21_ CONG TIEU Þ60_STANDARD FILE" xfId="6233"/>
    <cellStyle name="_GTGT 2003" xfId="2964"/>
    <cellStyle name="_Gui VU KH 5-5-09" xfId="2965"/>
    <cellStyle name="_Gui VU KH 5-5-09_05-12  KH trung han 2016-2020 - Liem Thinh edited" xfId="2966"/>
    <cellStyle name="_Gui VU KH 5-5-09_Copy of 05-12  KH trung han 2016-2020 - Liem Thinh edited (1)" xfId="2967"/>
    <cellStyle name="_Gui VU KH 5-5-09_KH TPCP 2016-2020 (tong hop)" xfId="2968"/>
    <cellStyle name="_GVL4" xfId="6234"/>
    <cellStyle name="_GVLmoi" xfId="6235"/>
    <cellStyle name="_HaHoa_TDT_DienCSang" xfId="360"/>
    <cellStyle name="_HaHoa_TDT_DienCSang 2" xfId="361"/>
    <cellStyle name="_HaHoa19-5-07" xfId="362"/>
    <cellStyle name="_HaHoa19-5-07 2" xfId="363"/>
    <cellStyle name="_Huong CHI tieu Nhiem vu CTMTQG 2014(1)" xfId="364"/>
    <cellStyle name="_IN" xfId="2969"/>
    <cellStyle name="_IN_!1 1 bao cao giao KH ve HTCMT vung TNB   12-12-2011" xfId="2970"/>
    <cellStyle name="_IN_KH TPCP vung TNB (03-1-2012)" xfId="2971"/>
    <cellStyle name="_k2+700" xfId="6236"/>
    <cellStyle name="_KE KHAI THUE GTGT 2004" xfId="2972"/>
    <cellStyle name="_KE KHAI THUE GTGT 2004_BCTC2004" xfId="2973"/>
    <cellStyle name="_KE LUONG THUC" xfId="6237"/>
    <cellStyle name="_KE LUONG THUC111" xfId="6238"/>
    <cellStyle name="_KH 2009" xfId="3483"/>
    <cellStyle name="_KH 2009_15_10_2013 BC nhu cau von doi ung ODA (2014-2016) ngay 15102013 Sua" xfId="3484"/>
    <cellStyle name="_KH 2009_BC nhu cau von doi ung ODA nganh NN (BKH)" xfId="3485"/>
    <cellStyle name="_KH 2009_BC nhu cau von doi ung ODA nganh NN (BKH)_05-12  KH trung han 2016-2020 - Liem Thinh edited" xfId="3486"/>
    <cellStyle name="_KH 2009_BC nhu cau von doi ung ODA nganh NN (BKH)_Copy of 05-12  KH trung han 2016-2020 - Liem Thinh edited (1)" xfId="3487"/>
    <cellStyle name="_KH 2009_BC Tai co cau (bieu TH)" xfId="3488"/>
    <cellStyle name="_KH 2009_BC Tai co cau (bieu TH)_05-12  KH trung han 2016-2020 - Liem Thinh edited" xfId="3489"/>
    <cellStyle name="_KH 2009_BC Tai co cau (bieu TH)_Copy of 05-12  KH trung han 2016-2020 - Liem Thinh edited (1)" xfId="3490"/>
    <cellStyle name="_KH 2009_DK 2014-2015 final" xfId="3491"/>
    <cellStyle name="_KH 2009_DK 2014-2015 final_05-12  KH trung han 2016-2020 - Liem Thinh edited" xfId="3492"/>
    <cellStyle name="_KH 2009_DK 2014-2015 final_Copy of 05-12  KH trung han 2016-2020 - Liem Thinh edited (1)" xfId="3493"/>
    <cellStyle name="_KH 2009_DK 2014-2015 new" xfId="3494"/>
    <cellStyle name="_KH 2009_DK 2014-2015 new_05-12  KH trung han 2016-2020 - Liem Thinh edited" xfId="3495"/>
    <cellStyle name="_KH 2009_DK 2014-2015 new_Copy of 05-12  KH trung han 2016-2020 - Liem Thinh edited (1)" xfId="3496"/>
    <cellStyle name="_KH 2009_DK KH CBDT 2014 11-11-2013" xfId="3497"/>
    <cellStyle name="_KH 2009_DK KH CBDT 2014 11-11-2013(1)" xfId="3498"/>
    <cellStyle name="_KH 2009_DK KH CBDT 2014 11-11-2013(1)_05-12  KH trung han 2016-2020 - Liem Thinh edited" xfId="3499"/>
    <cellStyle name="_KH 2009_DK KH CBDT 2014 11-11-2013(1)_Copy of 05-12  KH trung han 2016-2020 - Liem Thinh edited (1)" xfId="3500"/>
    <cellStyle name="_KH 2009_DK KH CBDT 2014 11-11-2013_05-12  KH trung han 2016-2020 - Liem Thinh edited" xfId="3501"/>
    <cellStyle name="_KH 2009_DK KH CBDT 2014 11-11-2013_Copy of 05-12  KH trung han 2016-2020 - Liem Thinh edited (1)" xfId="3502"/>
    <cellStyle name="_KH 2009_KH 2011-2015" xfId="3503"/>
    <cellStyle name="_KH 2009_tai co cau dau tu (tong hop)1" xfId="3504"/>
    <cellStyle name="_KH 2012 (TPCP) Bac Lieu (25-12-2011)" xfId="3505"/>
    <cellStyle name="_Kh ql62 (2010) 11-09" xfId="421"/>
    <cellStyle name="_KH TPCP 2010 17-3-10" xfId="3506"/>
    <cellStyle name="_KH TPCP vung TNB (03-1-2012)" xfId="3507"/>
    <cellStyle name="_KH ung von cap bach 2009-Cuc NTTS de nghi (sua)" xfId="3508"/>
    <cellStyle name="_KH.DTC.gd2016-2020 tinh (T2-2015)" xfId="422"/>
    <cellStyle name="_Khung 2012" xfId="3509"/>
    <cellStyle name="_Khung nam 2010" xfId="3510"/>
    <cellStyle name="_x0001__kien giang 2" xfId="2974"/>
    <cellStyle name="_KT (2)" xfId="365"/>
    <cellStyle name="_KT (2) 2" xfId="2975"/>
    <cellStyle name="_KT (2)_05-12  KH trung han 2016-2020 - Liem Thinh edited" xfId="2976"/>
    <cellStyle name="_KT (2)_1" xfId="366"/>
    <cellStyle name="_KT (2)_1 2" xfId="2977"/>
    <cellStyle name="_KT (2)_1_05-12  KH trung han 2016-2020 - Liem Thinh edited" xfId="2978"/>
    <cellStyle name="_KT (2)_1_Copy of 05-12  KH trung han 2016-2020 - Liem Thinh edited (1)" xfId="2979"/>
    <cellStyle name="_KT (2)_1_KH TPCP 2016-2020 (tong hop)" xfId="2980"/>
    <cellStyle name="_KT (2)_1_Lora-tungchau" xfId="2981"/>
    <cellStyle name="_KT (2)_1_Lora-tungchau 2" xfId="2982"/>
    <cellStyle name="_KT (2)_1_Lora-tungchau_05-12  KH trung han 2016-2020 - Liem Thinh edited" xfId="2983"/>
    <cellStyle name="_KT (2)_1_Lora-tungchau_Copy of 05-12  KH trung han 2016-2020 - Liem Thinh edited (1)" xfId="2984"/>
    <cellStyle name="_KT (2)_1_Lora-tungchau_KH TPCP 2016-2020 (tong hop)" xfId="2985"/>
    <cellStyle name="_KT (2)_1_Qt-HT3PQ1(CauKho)" xfId="2986"/>
    <cellStyle name="_KT (2)_1_STANDARD FILE" xfId="6239"/>
    <cellStyle name="_KT (2)_2" xfId="367"/>
    <cellStyle name="_KT (2)_2_C CHIN TUYEN" xfId="6240"/>
    <cellStyle name="_KT (2)_2_C CHIN TUYEN_STANDARD FILE" xfId="6241"/>
    <cellStyle name="_KT (2)_2_Copy of CAU CHIN TUYEN" xfId="6242"/>
    <cellStyle name="_KT (2)_2_Copy of CAU CHIN TUYEN_STANDARD FILE" xfId="6243"/>
    <cellStyle name="_KT (2)_2_DT CCAU SO 2" xfId="6244"/>
    <cellStyle name="_KT (2)_2_DT CCAU SO 2_STANDARD FILE" xfId="6245"/>
    <cellStyle name="_KT (2)_2_DU TOAN bo bao ba lang" xfId="6246"/>
    <cellStyle name="_KT (2)_2_DU TOAN bo bao ba lang_STANDARD FILE" xfId="6247"/>
    <cellStyle name="_KT (2)_2_Du toan Mau" xfId="6248"/>
    <cellStyle name="_KT (2)_2_Du toan Mau_STANDARD FILE" xfId="6249"/>
    <cellStyle name="_KT (2)_2_GT21_ CONG TIEU Þ60" xfId="6250"/>
    <cellStyle name="_KT (2)_2_GT21_ CONG TIEU Þ60_STANDARD FILE" xfId="6251"/>
    <cellStyle name="_KT (2)_2_GVL4" xfId="6252"/>
    <cellStyle name="_KT (2)_2_GVL4_STANDARD FILE" xfId="6253"/>
    <cellStyle name="_KT (2)_2_GVLmoi" xfId="6254"/>
    <cellStyle name="_KT (2)_2_GVLmoi_STANDARD FILE" xfId="6255"/>
    <cellStyle name="_KT (2)_2_k2+700" xfId="6256"/>
    <cellStyle name="_KT (2)_2_k2+700_STANDARD FILE" xfId="6257"/>
    <cellStyle name="_KT (2)_2_KE LUONG THUC" xfId="6258"/>
    <cellStyle name="_KT (2)_2_KE LUONG THUC_STANDARD FILE" xfId="6259"/>
    <cellStyle name="_KT (2)_2_KE LUONG THUC111" xfId="6260"/>
    <cellStyle name="_KT (2)_2_KE LUONG THUC111_STANDARD FILE" xfId="6261"/>
    <cellStyle name="_KT (2)_2_STANDARD FILE" xfId="6262"/>
    <cellStyle name="_KT (2)_2_STKL KE BAC LIEU" xfId="6263"/>
    <cellStyle name="_KT (2)_2_STKL KE BAC LIEU_STANDARD FILE" xfId="6264"/>
    <cellStyle name="_KT (2)_2_TG-TH" xfId="368"/>
    <cellStyle name="_KT (2)_2_TG-TH 2" xfId="2987"/>
    <cellStyle name="_KT (2)_2_TG-TH_05-12  KH trung han 2016-2020 - Liem Thinh edited" xfId="2988"/>
    <cellStyle name="_KT (2)_2_TG-TH_ApGiaVatTu_cayxanh_latgach" xfId="2989"/>
    <cellStyle name="_KT (2)_2_TG-TH_BANG TONG HOP TINH HINH THANH QUYET TOAN (MOI I)" xfId="369"/>
    <cellStyle name="_KT (2)_2_TG-TH_BAO CAO KLCT PT2000" xfId="2990"/>
    <cellStyle name="_KT (2)_2_TG-TH_BAO CAO PT2000" xfId="2991"/>
    <cellStyle name="_KT (2)_2_TG-TH_BAO CAO PT2000_Book1" xfId="2992"/>
    <cellStyle name="_KT (2)_2_TG-TH_Bao cao XDCB 2001 - T11 KH dieu chinh 20-11-THAI" xfId="2993"/>
    <cellStyle name="_KT (2)_2_TG-TH_BAO GIA NGAY 24-10-08 (co dam)" xfId="370"/>
    <cellStyle name="_KT (2)_2_TG-TH_BC  NAM 2007" xfId="2994"/>
    <cellStyle name="_KT (2)_2_TG-TH_BC CV 6403 BKHĐT" xfId="2995"/>
    <cellStyle name="_KT (2)_2_TG-TH_BC NQ11-CP - chinh sua lai" xfId="2996"/>
    <cellStyle name="_KT (2)_2_TG-TH_BC NQ11-CP-Quynh sau bieu so3" xfId="2997"/>
    <cellStyle name="_KT (2)_2_TG-TH_BC_NQ11-CP_-_Thao_sua_lai" xfId="2998"/>
    <cellStyle name="_KT (2)_2_TG-TH_Bieu mau cong trinh khoi cong moi 3-4" xfId="2999"/>
    <cellStyle name="_KT (2)_2_TG-TH_Bieu3ODA" xfId="3000"/>
    <cellStyle name="_KT (2)_2_TG-TH_Bieu3ODA_1" xfId="3001"/>
    <cellStyle name="_KT (2)_2_TG-TH_Bieu4HTMT" xfId="3002"/>
    <cellStyle name="_KT (2)_2_TG-TH_bo sung von KCH nam 2010 va Du an tre kho khan" xfId="3003"/>
    <cellStyle name="_KT (2)_2_TG-TH_Book1" xfId="371"/>
    <cellStyle name="_KT (2)_2_TG-TH_Book1 2" xfId="3004"/>
    <cellStyle name="_KT (2)_2_TG-TH_Book1_1" xfId="372"/>
    <cellStyle name="_KT (2)_2_TG-TH_Book1_1 2" xfId="3005"/>
    <cellStyle name="_KT (2)_2_TG-TH_Book1_1_BC CV 6403 BKHĐT" xfId="3006"/>
    <cellStyle name="_KT (2)_2_TG-TH_Book1_1_Bieu mau cong trinh khoi cong moi 3-4" xfId="3007"/>
    <cellStyle name="_KT (2)_2_TG-TH_Book1_1_Bieu3ODA" xfId="3008"/>
    <cellStyle name="_KT (2)_2_TG-TH_Book1_1_Bieu4HTMT" xfId="3009"/>
    <cellStyle name="_KT (2)_2_TG-TH_Book1_1_Book1" xfId="3010"/>
    <cellStyle name="_KT (2)_2_TG-TH_Book1_1_Luy ke von ung nam 2011 -Thoa gui ngay 12-8-2012" xfId="3011"/>
    <cellStyle name="_KT (2)_2_TG-TH_Book1_1_STANDARD FILE" xfId="6265"/>
    <cellStyle name="_KT (2)_2_TG-TH_Book1_2" xfId="3012"/>
    <cellStyle name="_KT (2)_2_TG-TH_Book1_2 2" xfId="3013"/>
    <cellStyle name="_KT (2)_2_TG-TH_Book1_2_BC CV 6403 BKHĐT" xfId="3014"/>
    <cellStyle name="_KT (2)_2_TG-TH_Book1_2_Bieu3ODA" xfId="3015"/>
    <cellStyle name="_KT (2)_2_TG-TH_Book1_2_Luy ke von ung nam 2011 -Thoa gui ngay 12-8-2012" xfId="3016"/>
    <cellStyle name="_KT (2)_2_TG-TH_Book1_3" xfId="3017"/>
    <cellStyle name="_KT (2)_2_TG-TH_Book1_3 2" xfId="3018"/>
    <cellStyle name="_KT (2)_2_TG-TH_Book1_BC CV 6403 BKHĐT" xfId="3019"/>
    <cellStyle name="_KT (2)_2_TG-TH_Book1_Bieu mau cong trinh khoi cong moi 3-4" xfId="3020"/>
    <cellStyle name="_KT (2)_2_TG-TH_Book1_Bieu3ODA" xfId="3021"/>
    <cellStyle name="_KT (2)_2_TG-TH_Book1_Bieu4HTMT" xfId="3022"/>
    <cellStyle name="_KT (2)_2_TG-TH_Book1_bo sung von KCH nam 2010 va Du an tre kho khan" xfId="3023"/>
    <cellStyle name="_KT (2)_2_TG-TH_Book1_Book1" xfId="3024"/>
    <cellStyle name="_KT (2)_2_TG-TH_Book1_C CHIN TUYEN" xfId="6266"/>
    <cellStyle name="_KT (2)_2_TG-TH_Book1_C CHIN TUYEN_STANDARD FILE" xfId="6267"/>
    <cellStyle name="_KT (2)_2_TG-TH_Book1_Copy of CAU CHIN TUYEN" xfId="6268"/>
    <cellStyle name="_KT (2)_2_TG-TH_Book1_Copy of CAU CHIN TUYEN_STANDARD FILE" xfId="6269"/>
    <cellStyle name="_KT (2)_2_TG-TH_Book1_danh muc chuan bi dau tu 2011 ngay 07-6-2011" xfId="3025"/>
    <cellStyle name="_KT (2)_2_TG-TH_Book1_Danh muc pbo nguon von XSKT, XDCB nam 2009 chuyen qua nam 2010" xfId="3026"/>
    <cellStyle name="_KT (2)_2_TG-TH_Book1_dieu chinh KH 2011 ngay 26-5-2011111" xfId="3027"/>
    <cellStyle name="_KT (2)_2_TG-TH_Book1_DS KCH PHAN BO VON NSDP NAM 2010" xfId="3028"/>
    <cellStyle name="_KT (2)_2_TG-TH_Book1_DT CCAU SO 2" xfId="6270"/>
    <cellStyle name="_KT (2)_2_TG-TH_Book1_DT CCAU SO 2_STANDARD FILE" xfId="6271"/>
    <cellStyle name="_KT (2)_2_TG-TH_Book1_DU TOAN bo bao ba lang" xfId="6272"/>
    <cellStyle name="_KT (2)_2_TG-TH_Book1_DU TOAN bo bao ba lang_STANDARD FILE" xfId="6273"/>
    <cellStyle name="_KT (2)_2_TG-TH_Book1_Du toan Mau" xfId="6274"/>
    <cellStyle name="_KT (2)_2_TG-TH_Book1_Du toan Mau_STANDARD FILE" xfId="6275"/>
    <cellStyle name="_KT (2)_2_TG-TH_Book1_giao KH 2011 ngay 10-12-2010" xfId="3029"/>
    <cellStyle name="_KT (2)_2_TG-TH_Book1_GT21_ CONG TIEU Þ60" xfId="6276"/>
    <cellStyle name="_KT (2)_2_TG-TH_Book1_GT21_ CONG TIEU Þ60_STANDARD FILE" xfId="6277"/>
    <cellStyle name="_KT (2)_2_TG-TH_Book1_Luy ke von ung nam 2011 -Thoa gui ngay 12-8-2012" xfId="3030"/>
    <cellStyle name="_KT (2)_2_TG-TH_Book1_STANDARD FILE" xfId="6278"/>
    <cellStyle name="_KT (2)_2_TG-TH_Book1_THDT" xfId="6283"/>
    <cellStyle name="_KT (2)_2_TG-TH_Book1_THDT_STANDARD FILE" xfId="6284"/>
    <cellStyle name="_KT (2)_2_TG-TH_Book1_THDTGOI 21" xfId="6285"/>
    <cellStyle name="_KT (2)_2_TG-TH_Book1_THDTGOI 21_STANDARD FILE" xfId="6286"/>
    <cellStyle name="_KT (2)_2_TG-TH_Book1_THONG KE THEP" xfId="6287"/>
    <cellStyle name="_KT (2)_2_TG-TH_Book1_THONG KE THEP_STANDARD FILE" xfId="6288"/>
    <cellStyle name="_KT (2)_2_TG-TH_Book1_TKHC-THOIQUAN-05-04-2004" xfId="6279"/>
    <cellStyle name="_KT (2)_2_TG-TH_Book1_TKHC-THOIQUAN-05-04-2004_STANDARD FILE" xfId="6280"/>
    <cellStyle name="_KT (2)_2_TG-TH_Book1_TONG DU TOAN VINH LONG-PA1" xfId="6281"/>
    <cellStyle name="_KT (2)_2_TG-TH_Book1_TONG DU TOAN VINH LONG-PA1_STANDARD FILE" xfId="6282"/>
    <cellStyle name="_KT (2)_2_TG-TH_C CHIN TUYEN" xfId="6289"/>
    <cellStyle name="_KT (2)_2_TG-TH_C CHIN TUYEN_STANDARD FILE" xfId="6290"/>
    <cellStyle name="_KT (2)_2_TG-TH_CAU Khanh Nam(Thi Cong)" xfId="373"/>
    <cellStyle name="_KT (2)_2_TG-TH_ChiHuong_ApGia" xfId="3033"/>
    <cellStyle name="_KT (2)_2_TG-TH_CoCauPhi (version 1)" xfId="3031"/>
    <cellStyle name="_KT (2)_2_TG-TH_Copy of 05-12  KH trung han 2016-2020 - Liem Thinh edited (1)" xfId="3032"/>
    <cellStyle name="_KT (2)_2_TG-TH_Copy of CAU CHIN TUYEN" xfId="6291"/>
    <cellStyle name="_KT (2)_2_TG-TH_Copy of CAU CHIN TUYEN_STANDARD FILE" xfId="6292"/>
    <cellStyle name="_KT (2)_2_TG-TH_danh muc chuan bi dau tu 2011 ngay 07-6-2011" xfId="3034"/>
    <cellStyle name="_KT (2)_2_TG-TH_Danh muc pbo nguon von XSKT, XDCB nam 2009 chuyen qua nam 2010" xfId="3035"/>
    <cellStyle name="_KT (2)_2_TG-TH_DAU NOI PL-CL TAI PHU LAMHC" xfId="3036"/>
    <cellStyle name="_KT (2)_2_TG-TH_dieu chinh KH 2011 ngay 26-5-2011111" xfId="3037"/>
    <cellStyle name="_KT (2)_2_TG-TH_DS KCH PHAN BO VON NSDP NAM 2010" xfId="3038"/>
    <cellStyle name="_KT (2)_2_TG-TH_DT CCAU SO 2" xfId="6293"/>
    <cellStyle name="_KT (2)_2_TG-TH_DT CCAU SO 2_STANDARD FILE" xfId="6294"/>
    <cellStyle name="_KT (2)_2_TG-TH_DTCDT MR.2N110.HOCMON.TDTOAN.CCUNG" xfId="3039"/>
    <cellStyle name="_KT (2)_2_TG-TH_DU TOAN bo bao ba lang" xfId="6295"/>
    <cellStyle name="_KT (2)_2_TG-TH_DU TOAN bo bao ba lang_STANDARD FILE" xfId="6296"/>
    <cellStyle name="_KT (2)_2_TG-TH_Du toan Mau" xfId="6297"/>
    <cellStyle name="_KT (2)_2_TG-TH_Du toan Mau_STANDARD FILE" xfId="6298"/>
    <cellStyle name="_KT (2)_2_TG-TH_DU TRU VAT TU" xfId="374"/>
    <cellStyle name="_KT (2)_2_TG-TH_giao KH 2011 ngay 10-12-2010" xfId="3041"/>
    <cellStyle name="_KT (2)_2_TG-TH_GT21_ CONG TIEU Þ60" xfId="6299"/>
    <cellStyle name="_KT (2)_2_TG-TH_GT21_ CONG TIEU Þ60_STANDARD FILE" xfId="6300"/>
    <cellStyle name="_KT (2)_2_TG-TH_GTGT 2003" xfId="3040"/>
    <cellStyle name="_KT (2)_2_TG-TH_GVL4" xfId="6301"/>
    <cellStyle name="_KT (2)_2_TG-TH_GVL4_STANDARD FILE" xfId="6302"/>
    <cellStyle name="_KT (2)_2_TG-TH_GVLmoi" xfId="6303"/>
    <cellStyle name="_KT (2)_2_TG-TH_GVLmoi_STANDARD FILE" xfId="6304"/>
    <cellStyle name="_KT (2)_2_TG-TH_k2+700" xfId="6305"/>
    <cellStyle name="_KT (2)_2_TG-TH_k2+700_STANDARD FILE" xfId="6306"/>
    <cellStyle name="_KT (2)_2_TG-TH_KE KHAI THUE GTGT 2004" xfId="3042"/>
    <cellStyle name="_KT (2)_2_TG-TH_KE KHAI THUE GTGT 2004_BCTC2004" xfId="3043"/>
    <cellStyle name="_KT (2)_2_TG-TH_KE LUONG THUC" xfId="6307"/>
    <cellStyle name="_KT (2)_2_TG-TH_KE LUONG THUC_STANDARD FILE" xfId="6308"/>
    <cellStyle name="_KT (2)_2_TG-TH_KE LUONG THUC111" xfId="6309"/>
    <cellStyle name="_KT (2)_2_TG-TH_KE LUONG THUC111_STANDARD FILE" xfId="6310"/>
    <cellStyle name="_KT (2)_2_TG-TH_KH TPCP 2016-2020 (tong hop)" xfId="3045"/>
    <cellStyle name="_KT (2)_2_TG-TH_KH TPCP vung TNB (03-1-2012)" xfId="3046"/>
    <cellStyle name="_KT (2)_2_TG-TH_kien giang 2" xfId="3044"/>
    <cellStyle name="_KT (2)_2_TG-TH_Lora-tungchau" xfId="3047"/>
    <cellStyle name="_KT (2)_2_TG-TH_Luy ke von ung nam 2011 -Thoa gui ngay 12-8-2012" xfId="3048"/>
    <cellStyle name="_KT (2)_2_TG-TH_NhanCong" xfId="3050"/>
    <cellStyle name="_KT (2)_2_TG-TH_N-X-T-04" xfId="3049"/>
    <cellStyle name="_KT (2)_2_TG-TH_PGIA-phieu tham tra Kho bac" xfId="3051"/>
    <cellStyle name="_KT (2)_2_TG-TH_phu luc tong ket tinh hinh TH giai doan 03-10 (ngay 30)" xfId="3056"/>
    <cellStyle name="_KT (2)_2_TG-TH_PT02-02" xfId="3052"/>
    <cellStyle name="_KT (2)_2_TG-TH_PT02-02_Book1" xfId="3053"/>
    <cellStyle name="_KT (2)_2_TG-TH_PT02-03" xfId="3054"/>
    <cellStyle name="_KT (2)_2_TG-TH_PT02-03_Book1" xfId="3055"/>
    <cellStyle name="_KT (2)_2_TG-TH_Qt-HT3PQ1(CauKho)" xfId="3057"/>
    <cellStyle name="_KT (2)_2_TG-TH_Sheet1" xfId="3058"/>
    <cellStyle name="_KT (2)_2_TG-TH_STANDARD FILE" xfId="6311"/>
    <cellStyle name="_KT (2)_2_TG-TH_STKL KE BAC LIEU" xfId="6312"/>
    <cellStyle name="_KT (2)_2_TG-TH_STKL KE BAC LIEU_STANDARD FILE" xfId="6313"/>
    <cellStyle name="_KT (2)_2_TG-TH_THDT" xfId="6318"/>
    <cellStyle name="_KT (2)_2_TG-TH_THDT_1" xfId="6319"/>
    <cellStyle name="_KT (2)_2_TG-TH_THDT_1_STANDARD FILE" xfId="6320"/>
    <cellStyle name="_KT (2)_2_TG-TH_THDT_STANDARD FILE" xfId="6321"/>
    <cellStyle name="_KT (2)_2_TG-TH_THONG KE THEP" xfId="6322"/>
    <cellStyle name="_KT (2)_2_TG-TH_THONG KE THEP_STANDARD FILE" xfId="6323"/>
    <cellStyle name="_KT (2)_2_TG-TH_TK152-04" xfId="3059"/>
    <cellStyle name="_KT (2)_2_TG-TH_TKHC-THOIQUAN-05-04-2004" xfId="6314"/>
    <cellStyle name="_KT (2)_2_TG-TH_TKHC-THOIQUAN-05-04-2004_STANDARD FILE" xfId="6315"/>
    <cellStyle name="_KT (2)_2_TG-TH_TMDTPA1" xfId="6316"/>
    <cellStyle name="_KT (2)_2_TG-TH_TMDTPA1_STANDARD FILE" xfId="6317"/>
    <cellStyle name="_KT (2)_2_TG-TH_ÿÿÿÿÿ" xfId="375"/>
    <cellStyle name="_KT (2)_2_TG-TH_ÿÿÿÿÿ_Bieu mau cong trinh khoi cong moi 3-4" xfId="3060"/>
    <cellStyle name="_KT (2)_2_TG-TH_ÿÿÿÿÿ_Bieu3ODA" xfId="3061"/>
    <cellStyle name="_KT (2)_2_TG-TH_ÿÿÿÿÿ_Bieu4HTMT" xfId="3062"/>
    <cellStyle name="_KT (2)_2_TG-TH_ÿÿÿÿÿ_KH TPCP vung TNB (03-1-2012)" xfId="3064"/>
    <cellStyle name="_KT (2)_2_TG-TH_ÿÿÿÿÿ_kien giang 2" xfId="3063"/>
    <cellStyle name="_KT (2)_2_THDT" xfId="6326"/>
    <cellStyle name="_KT (2)_2_THDT_1" xfId="6327"/>
    <cellStyle name="_KT (2)_2_THDT_1_STANDARD FILE" xfId="6328"/>
    <cellStyle name="_KT (2)_2_THDT_STANDARD FILE" xfId="6329"/>
    <cellStyle name="_KT (2)_2_THONG KE THEP" xfId="6330"/>
    <cellStyle name="_KT (2)_2_THONG KE THEP_STANDARD FILE" xfId="6331"/>
    <cellStyle name="_KT (2)_2_TMDTPA1" xfId="6324"/>
    <cellStyle name="_KT (2)_2_TMDTPA1_STANDARD FILE" xfId="6325"/>
    <cellStyle name="_KT (2)_3" xfId="376"/>
    <cellStyle name="_KT (2)_3_STANDARD FILE" xfId="6332"/>
    <cellStyle name="_KT (2)_3_TG-TH" xfId="377"/>
    <cellStyle name="_KT (2)_3_TG-TH 2" xfId="3065"/>
    <cellStyle name="_KT (2)_3_TG-TH_05-12  KH trung han 2016-2020 - Liem Thinh edited" xfId="3066"/>
    <cellStyle name="_KT (2)_3_TG-TH_BC  NAM 2007" xfId="3067"/>
    <cellStyle name="_KT (2)_3_TG-TH_Bieu mau cong trinh khoi cong moi 3-4" xfId="3068"/>
    <cellStyle name="_KT (2)_3_TG-TH_Bieu3ODA" xfId="3069"/>
    <cellStyle name="_KT (2)_3_TG-TH_Bieu3ODA_1" xfId="3070"/>
    <cellStyle name="_KT (2)_3_TG-TH_Bieu4HTMT" xfId="3071"/>
    <cellStyle name="_KT (2)_3_TG-TH_bo sung von KCH nam 2010 va Du an tre kho khan" xfId="3072"/>
    <cellStyle name="_KT (2)_3_TG-TH_Book1" xfId="3073"/>
    <cellStyle name="_KT (2)_3_TG-TH_Book1 2" xfId="3074"/>
    <cellStyle name="_KT (2)_3_TG-TH_Book1_1" xfId="6333"/>
    <cellStyle name="_KT (2)_3_TG-TH_Book1_1_STANDARD FILE" xfId="6334"/>
    <cellStyle name="_KT (2)_3_TG-TH_Book1_BC-QT-WB-dthao" xfId="3075"/>
    <cellStyle name="_KT (2)_3_TG-TH_Book1_BC-QT-WB-dthao_05-12  KH trung han 2016-2020 - Liem Thinh edited" xfId="3076"/>
    <cellStyle name="_KT (2)_3_TG-TH_Book1_BC-QT-WB-dthao_Copy of 05-12  KH trung han 2016-2020 - Liem Thinh edited (1)" xfId="3077"/>
    <cellStyle name="_KT (2)_3_TG-TH_Book1_BC-QT-WB-dthao_KH TPCP 2016-2020 (tong hop)" xfId="3078"/>
    <cellStyle name="_KT (2)_3_TG-TH_Book1_KH TPCP vung TNB (03-1-2012)" xfId="3080"/>
    <cellStyle name="_KT (2)_3_TG-TH_Book1_kien giang 2" xfId="3079"/>
    <cellStyle name="_KT (2)_3_TG-TH_Book1_STANDARD FILE" xfId="6335"/>
    <cellStyle name="_KT (2)_3_TG-TH_Book1_TKHC-THOIQUAN-05-04-2004" xfId="6336"/>
    <cellStyle name="_KT (2)_3_TG-TH_Book1_TKHC-THOIQUAN-05-04-2004_STANDARD FILE" xfId="6337"/>
    <cellStyle name="_KT (2)_3_TG-TH_C CHIN TUYEN" xfId="6338"/>
    <cellStyle name="_KT (2)_3_TG-TH_C CHIN TUYEN_STANDARD FILE" xfId="6339"/>
    <cellStyle name="_KT (2)_3_TG-TH_Copy of 05-12  KH trung han 2016-2020 - Liem Thinh edited (1)" xfId="3081"/>
    <cellStyle name="_KT (2)_3_TG-TH_Copy of CAU CHIN TUYEN" xfId="6340"/>
    <cellStyle name="_KT (2)_3_TG-TH_Copy of CAU CHIN TUYEN_STANDARD FILE" xfId="6341"/>
    <cellStyle name="_KT (2)_3_TG-TH_danh muc chuan bi dau tu 2011 ngay 07-6-2011" xfId="3082"/>
    <cellStyle name="_KT (2)_3_TG-TH_Danh muc pbo nguon von XSKT, XDCB nam 2009 chuyen qua nam 2010" xfId="3083"/>
    <cellStyle name="_KT (2)_3_TG-TH_dieu chinh KH 2011 ngay 26-5-2011111" xfId="3084"/>
    <cellStyle name="_KT (2)_3_TG-TH_DS KCH PHAN BO VON NSDP NAM 2010" xfId="3085"/>
    <cellStyle name="_KT (2)_3_TG-TH_DT CCAU SO 2" xfId="6342"/>
    <cellStyle name="_KT (2)_3_TG-TH_DT CCAU SO 2_STANDARD FILE" xfId="6343"/>
    <cellStyle name="_KT (2)_3_TG-TH_DU TOAN bo bao ba lang" xfId="6344"/>
    <cellStyle name="_KT (2)_3_TG-TH_DU TOAN bo bao ba lang_STANDARD FILE" xfId="6345"/>
    <cellStyle name="_KT (2)_3_TG-TH_Du toan Mau" xfId="6346"/>
    <cellStyle name="_KT (2)_3_TG-TH_Du toan Mau_STANDARD FILE" xfId="6347"/>
    <cellStyle name="_KT (2)_3_TG-TH_giao KH 2011 ngay 10-12-2010" xfId="3087"/>
    <cellStyle name="_KT (2)_3_TG-TH_GT21_ CONG TIEU Þ60" xfId="6348"/>
    <cellStyle name="_KT (2)_3_TG-TH_GT21_ CONG TIEU Þ60_STANDARD FILE" xfId="6349"/>
    <cellStyle name="_KT (2)_3_TG-TH_GTGT 2003" xfId="3086"/>
    <cellStyle name="_KT (2)_3_TG-TH_GVL4" xfId="6350"/>
    <cellStyle name="_KT (2)_3_TG-TH_GVL4_STANDARD FILE" xfId="6351"/>
    <cellStyle name="_KT (2)_3_TG-TH_GVLmoi" xfId="6352"/>
    <cellStyle name="_KT (2)_3_TG-TH_GVLmoi_STANDARD FILE" xfId="6353"/>
    <cellStyle name="_KT (2)_3_TG-TH_k2+700" xfId="6354"/>
    <cellStyle name="_KT (2)_3_TG-TH_k2+700_STANDARD FILE" xfId="6355"/>
    <cellStyle name="_KT (2)_3_TG-TH_KE KHAI THUE GTGT 2004" xfId="3088"/>
    <cellStyle name="_KT (2)_3_TG-TH_KE KHAI THUE GTGT 2004_BCTC2004" xfId="3089"/>
    <cellStyle name="_KT (2)_3_TG-TH_KE LUONG THUC" xfId="6356"/>
    <cellStyle name="_KT (2)_3_TG-TH_KE LUONG THUC_STANDARD FILE" xfId="6357"/>
    <cellStyle name="_KT (2)_3_TG-TH_KE LUONG THUC111" xfId="6358"/>
    <cellStyle name="_KT (2)_3_TG-TH_KE LUONG THUC111_STANDARD FILE" xfId="6359"/>
    <cellStyle name="_KT (2)_3_TG-TH_KH TPCP 2016-2020 (tong hop)" xfId="3091"/>
    <cellStyle name="_KT (2)_3_TG-TH_KH TPCP vung TNB (03-1-2012)" xfId="3092"/>
    <cellStyle name="_KT (2)_3_TG-TH_kien giang 2" xfId="3090"/>
    <cellStyle name="_KT (2)_3_TG-TH_Lora-tungchau" xfId="3093"/>
    <cellStyle name="_KT (2)_3_TG-TH_Lora-tungchau 2" xfId="3094"/>
    <cellStyle name="_KT (2)_3_TG-TH_Lora-tungchau_05-12  KH trung han 2016-2020 - Liem Thinh edited" xfId="3095"/>
    <cellStyle name="_KT (2)_3_TG-TH_Lora-tungchau_Copy of 05-12  KH trung han 2016-2020 - Liem Thinh edited (1)" xfId="3096"/>
    <cellStyle name="_KT (2)_3_TG-TH_Lora-tungchau_KH TPCP 2016-2020 (tong hop)" xfId="3097"/>
    <cellStyle name="_KT (2)_3_TG-TH_N-X-T-04" xfId="3098"/>
    <cellStyle name="_KT (2)_3_TG-TH_PERSONAL" xfId="378"/>
    <cellStyle name="_KT (2)_3_TG-TH_PERSONAL_BC CV 6403 BKHĐT" xfId="3099"/>
    <cellStyle name="_KT (2)_3_TG-TH_PERSONAL_Bieu mau cong trinh khoi cong moi 3-4" xfId="3100"/>
    <cellStyle name="_KT (2)_3_TG-TH_PERSONAL_Bieu3ODA" xfId="3101"/>
    <cellStyle name="_KT (2)_3_TG-TH_PERSONAL_Bieu4HTMT" xfId="3102"/>
    <cellStyle name="_KT (2)_3_TG-TH_PERSONAL_Book1" xfId="379"/>
    <cellStyle name="_KT (2)_3_TG-TH_PERSONAL_Book1 2" xfId="3103"/>
    <cellStyle name="_KT (2)_3_TG-TH_PERSONAL_Book1_STANDARD FILE" xfId="6360"/>
    <cellStyle name="_KT (2)_3_TG-TH_PERSONAL_HTQ.8 GD1" xfId="3104"/>
    <cellStyle name="_KT (2)_3_TG-TH_PERSONAL_HTQ.8 GD1_05-12  KH trung han 2016-2020 - Liem Thinh edited" xfId="3105"/>
    <cellStyle name="_KT (2)_3_TG-TH_PERSONAL_HTQ.8 GD1_Copy of 05-12  KH trung han 2016-2020 - Liem Thinh edited (1)" xfId="3106"/>
    <cellStyle name="_KT (2)_3_TG-TH_PERSONAL_HTQ.8 GD1_KH TPCP 2016-2020 (tong hop)" xfId="3107"/>
    <cellStyle name="_KT (2)_3_TG-TH_PERSONAL_Luy ke von ung nam 2011 -Thoa gui ngay 12-8-2012" xfId="3108"/>
    <cellStyle name="_KT (2)_3_TG-TH_PERSONAL_STANDARD FILE" xfId="6361"/>
    <cellStyle name="_KT (2)_3_TG-TH_PERSONAL_Tong hop KHCB 2001" xfId="380"/>
    <cellStyle name="_KT (2)_3_TG-TH_PERSONAL_Tong hop KHCB 2001_STANDARD FILE" xfId="6362"/>
    <cellStyle name="_KT (2)_3_TG-TH_Qt-HT3PQ1(CauKho)" xfId="3109"/>
    <cellStyle name="_KT (2)_3_TG-TH_STANDARD FILE" xfId="6363"/>
    <cellStyle name="_KT (2)_3_TG-TH_STKL KE BAC LIEU" xfId="6364"/>
    <cellStyle name="_KT (2)_3_TG-TH_STKL KE BAC LIEU_STANDARD FILE" xfId="6365"/>
    <cellStyle name="_KT (2)_3_TG-TH_THDT" xfId="6370"/>
    <cellStyle name="_KT (2)_3_TG-TH_THDT_1" xfId="6371"/>
    <cellStyle name="_KT (2)_3_TG-TH_THDT_1_STANDARD FILE" xfId="6372"/>
    <cellStyle name="_KT (2)_3_TG-TH_THDT_STANDARD FILE" xfId="6373"/>
    <cellStyle name="_KT (2)_3_TG-TH_THONG KE THEP" xfId="6374"/>
    <cellStyle name="_KT (2)_3_TG-TH_THONG KE THEP_STANDARD FILE" xfId="6375"/>
    <cellStyle name="_KT (2)_3_TG-TH_TK152-04" xfId="3110"/>
    <cellStyle name="_KT (2)_3_TG-TH_TKHC-THOIQUAN-05-04-2004" xfId="6366"/>
    <cellStyle name="_KT (2)_3_TG-TH_TKHC-THOIQUAN-05-04-2004_STANDARD FILE" xfId="6367"/>
    <cellStyle name="_KT (2)_3_TG-TH_TMDTPA1" xfId="6368"/>
    <cellStyle name="_KT (2)_3_TG-TH_TMDTPA1_STANDARD FILE" xfId="6369"/>
    <cellStyle name="_KT (2)_3_TG-TH_ÿÿÿÿÿ" xfId="3111"/>
    <cellStyle name="_KT (2)_3_TG-TH_ÿÿÿÿÿ_KH TPCP vung TNB (03-1-2012)" xfId="3113"/>
    <cellStyle name="_KT (2)_3_TG-TH_ÿÿÿÿÿ_kien giang 2" xfId="3112"/>
    <cellStyle name="_KT (2)_4" xfId="381"/>
    <cellStyle name="_KT (2)_4 2" xfId="3114"/>
    <cellStyle name="_KT (2)_4_05-12  KH trung han 2016-2020 - Liem Thinh edited" xfId="3115"/>
    <cellStyle name="_KT (2)_4_ApGiaVatTu_cayxanh_latgach" xfId="3116"/>
    <cellStyle name="_KT (2)_4_BANG TONG HOP TINH HINH THANH QUYET TOAN (MOI I)" xfId="382"/>
    <cellStyle name="_KT (2)_4_BAO CAO KLCT PT2000" xfId="3117"/>
    <cellStyle name="_KT (2)_4_BAO CAO PT2000" xfId="3118"/>
    <cellStyle name="_KT (2)_4_BAO CAO PT2000_Book1" xfId="3119"/>
    <cellStyle name="_KT (2)_4_Bao cao XDCB 2001 - T11 KH dieu chinh 20-11-THAI" xfId="3120"/>
    <cellStyle name="_KT (2)_4_BAO GIA NGAY 24-10-08 (co dam)" xfId="383"/>
    <cellStyle name="_KT (2)_4_BC  NAM 2007" xfId="3121"/>
    <cellStyle name="_KT (2)_4_BC CV 6403 BKHĐT" xfId="3122"/>
    <cellStyle name="_KT (2)_4_BC NQ11-CP - chinh sua lai" xfId="3123"/>
    <cellStyle name="_KT (2)_4_BC NQ11-CP-Quynh sau bieu so3" xfId="3124"/>
    <cellStyle name="_KT (2)_4_BC_NQ11-CP_-_Thao_sua_lai" xfId="3125"/>
    <cellStyle name="_KT (2)_4_Bieu mau cong trinh khoi cong moi 3-4" xfId="3126"/>
    <cellStyle name="_KT (2)_4_Bieu3ODA" xfId="3127"/>
    <cellStyle name="_KT (2)_4_Bieu3ODA_1" xfId="3128"/>
    <cellStyle name="_KT (2)_4_Bieu4HTMT" xfId="3129"/>
    <cellStyle name="_KT (2)_4_bo sung von KCH nam 2010 va Du an tre kho khan" xfId="3130"/>
    <cellStyle name="_KT (2)_4_Book1" xfId="384"/>
    <cellStyle name="_KT (2)_4_Book1 2" xfId="3131"/>
    <cellStyle name="_KT (2)_4_Book1_1" xfId="385"/>
    <cellStyle name="_KT (2)_4_Book1_1 2" xfId="3132"/>
    <cellStyle name="_KT (2)_4_Book1_1_BC CV 6403 BKHĐT" xfId="3133"/>
    <cellStyle name="_KT (2)_4_Book1_1_Bieu mau cong trinh khoi cong moi 3-4" xfId="3134"/>
    <cellStyle name="_KT (2)_4_Book1_1_Bieu3ODA" xfId="3135"/>
    <cellStyle name="_KT (2)_4_Book1_1_Bieu4HTMT" xfId="3136"/>
    <cellStyle name="_KT (2)_4_Book1_1_Book1" xfId="3137"/>
    <cellStyle name="_KT (2)_4_Book1_1_Luy ke von ung nam 2011 -Thoa gui ngay 12-8-2012" xfId="3138"/>
    <cellStyle name="_KT (2)_4_Book1_1_STANDARD FILE" xfId="6376"/>
    <cellStyle name="_KT (2)_4_Book1_2" xfId="3139"/>
    <cellStyle name="_KT (2)_4_Book1_2 2" xfId="3140"/>
    <cellStyle name="_KT (2)_4_Book1_2_BC CV 6403 BKHĐT" xfId="3141"/>
    <cellStyle name="_KT (2)_4_Book1_2_Bieu3ODA" xfId="3142"/>
    <cellStyle name="_KT (2)_4_Book1_2_Luy ke von ung nam 2011 -Thoa gui ngay 12-8-2012" xfId="3143"/>
    <cellStyle name="_KT (2)_4_Book1_3" xfId="3144"/>
    <cellStyle name="_KT (2)_4_Book1_3 2" xfId="3145"/>
    <cellStyle name="_KT (2)_4_Book1_BC CV 6403 BKHĐT" xfId="3146"/>
    <cellStyle name="_KT (2)_4_Book1_Bieu mau cong trinh khoi cong moi 3-4" xfId="3147"/>
    <cellStyle name="_KT (2)_4_Book1_Bieu3ODA" xfId="3148"/>
    <cellStyle name="_KT (2)_4_Book1_Bieu4HTMT" xfId="3149"/>
    <cellStyle name="_KT (2)_4_Book1_bo sung von KCH nam 2010 va Du an tre kho khan" xfId="3150"/>
    <cellStyle name="_KT (2)_4_Book1_Book1" xfId="3151"/>
    <cellStyle name="_KT (2)_4_Book1_C CHIN TUYEN" xfId="6377"/>
    <cellStyle name="_KT (2)_4_Book1_C CHIN TUYEN_STANDARD FILE" xfId="6378"/>
    <cellStyle name="_KT (2)_4_Book1_Copy of CAU CHIN TUYEN" xfId="6379"/>
    <cellStyle name="_KT (2)_4_Book1_Copy of CAU CHIN TUYEN_STANDARD FILE" xfId="6380"/>
    <cellStyle name="_KT (2)_4_Book1_danh muc chuan bi dau tu 2011 ngay 07-6-2011" xfId="3152"/>
    <cellStyle name="_KT (2)_4_Book1_Danh muc pbo nguon von XSKT, XDCB nam 2009 chuyen qua nam 2010" xfId="3153"/>
    <cellStyle name="_KT (2)_4_Book1_dieu chinh KH 2011 ngay 26-5-2011111" xfId="3154"/>
    <cellStyle name="_KT (2)_4_Book1_DS KCH PHAN BO VON NSDP NAM 2010" xfId="3155"/>
    <cellStyle name="_KT (2)_4_Book1_DT CCAU SO 2" xfId="6381"/>
    <cellStyle name="_KT (2)_4_Book1_DT CCAU SO 2_STANDARD FILE" xfId="6382"/>
    <cellStyle name="_KT (2)_4_Book1_DU TOAN bo bao ba lang" xfId="6383"/>
    <cellStyle name="_KT (2)_4_Book1_DU TOAN bo bao ba lang_STANDARD FILE" xfId="6384"/>
    <cellStyle name="_KT (2)_4_Book1_Du toan Mau" xfId="6385"/>
    <cellStyle name="_KT (2)_4_Book1_Du toan Mau_STANDARD FILE" xfId="6386"/>
    <cellStyle name="_KT (2)_4_Book1_giao KH 2011 ngay 10-12-2010" xfId="3156"/>
    <cellStyle name="_KT (2)_4_Book1_GT21_ CONG TIEU Þ60" xfId="6387"/>
    <cellStyle name="_KT (2)_4_Book1_GT21_ CONG TIEU Þ60_STANDARD FILE" xfId="6388"/>
    <cellStyle name="_KT (2)_4_Book1_Luy ke von ung nam 2011 -Thoa gui ngay 12-8-2012" xfId="3157"/>
    <cellStyle name="_KT (2)_4_Book1_STANDARD FILE" xfId="6389"/>
    <cellStyle name="_KT (2)_4_Book1_THDT" xfId="6394"/>
    <cellStyle name="_KT (2)_4_Book1_THDT_STANDARD FILE" xfId="6395"/>
    <cellStyle name="_KT (2)_4_Book1_THDTGOI 21" xfId="6396"/>
    <cellStyle name="_KT (2)_4_Book1_THDTGOI 21_STANDARD FILE" xfId="6397"/>
    <cellStyle name="_KT (2)_4_Book1_THONG KE THEP" xfId="6398"/>
    <cellStyle name="_KT (2)_4_Book1_THONG KE THEP_STANDARD FILE" xfId="6399"/>
    <cellStyle name="_KT (2)_4_Book1_TKHC-THOIQUAN-05-04-2004" xfId="6390"/>
    <cellStyle name="_KT (2)_4_Book1_TKHC-THOIQUAN-05-04-2004_STANDARD FILE" xfId="6391"/>
    <cellStyle name="_KT (2)_4_Book1_TONG DU TOAN VINH LONG-PA1" xfId="6392"/>
    <cellStyle name="_KT (2)_4_Book1_TONG DU TOAN VINH LONG-PA1_STANDARD FILE" xfId="6393"/>
    <cellStyle name="_KT (2)_4_C CHIN TUYEN" xfId="6400"/>
    <cellStyle name="_KT (2)_4_C CHIN TUYEN_STANDARD FILE" xfId="6401"/>
    <cellStyle name="_KT (2)_4_CAU Khanh Nam(Thi Cong)" xfId="386"/>
    <cellStyle name="_KT (2)_4_ChiHuong_ApGia" xfId="3160"/>
    <cellStyle name="_KT (2)_4_CoCauPhi (version 1)" xfId="3158"/>
    <cellStyle name="_KT (2)_4_Copy of 05-12  KH trung han 2016-2020 - Liem Thinh edited (1)" xfId="3159"/>
    <cellStyle name="_KT (2)_4_Copy of CAU CHIN TUYEN" xfId="6402"/>
    <cellStyle name="_KT (2)_4_Copy of CAU CHIN TUYEN_STANDARD FILE" xfId="6403"/>
    <cellStyle name="_KT (2)_4_danh muc chuan bi dau tu 2011 ngay 07-6-2011" xfId="3161"/>
    <cellStyle name="_KT (2)_4_Danh muc pbo nguon von XSKT, XDCB nam 2009 chuyen qua nam 2010" xfId="3162"/>
    <cellStyle name="_KT (2)_4_DAU NOI PL-CL TAI PHU LAMHC" xfId="3163"/>
    <cellStyle name="_KT (2)_4_dieu chinh KH 2011 ngay 26-5-2011111" xfId="3164"/>
    <cellStyle name="_KT (2)_4_DS KCH PHAN BO VON NSDP NAM 2010" xfId="3165"/>
    <cellStyle name="_KT (2)_4_DT CCAU SO 2" xfId="6404"/>
    <cellStyle name="_KT (2)_4_DT CCAU SO 2_STANDARD FILE" xfId="6405"/>
    <cellStyle name="_KT (2)_4_DTCDT MR.2N110.HOCMON.TDTOAN.CCUNG" xfId="3166"/>
    <cellStyle name="_KT (2)_4_DU TOAN bo bao ba lang" xfId="6406"/>
    <cellStyle name="_KT (2)_4_DU TOAN bo bao ba lang_STANDARD FILE" xfId="6407"/>
    <cellStyle name="_KT (2)_4_Du toan Mau" xfId="6408"/>
    <cellStyle name="_KT (2)_4_Du toan Mau_STANDARD FILE" xfId="6409"/>
    <cellStyle name="_KT (2)_4_DU TRU VAT TU" xfId="387"/>
    <cellStyle name="_KT (2)_4_giao KH 2011 ngay 10-12-2010" xfId="3168"/>
    <cellStyle name="_KT (2)_4_GT21_ CONG TIEU Þ60" xfId="6410"/>
    <cellStyle name="_KT (2)_4_GT21_ CONG TIEU Þ60_STANDARD FILE" xfId="6411"/>
    <cellStyle name="_KT (2)_4_GTGT 2003" xfId="3167"/>
    <cellStyle name="_KT (2)_4_GVL4" xfId="6412"/>
    <cellStyle name="_KT (2)_4_GVL4_STANDARD FILE" xfId="6413"/>
    <cellStyle name="_KT (2)_4_GVLmoi" xfId="6414"/>
    <cellStyle name="_KT (2)_4_GVLmoi_STANDARD FILE" xfId="6415"/>
    <cellStyle name="_KT (2)_4_k2+700" xfId="6416"/>
    <cellStyle name="_KT (2)_4_k2+700_STANDARD FILE" xfId="6417"/>
    <cellStyle name="_KT (2)_4_KE KHAI THUE GTGT 2004" xfId="3169"/>
    <cellStyle name="_KT (2)_4_KE KHAI THUE GTGT 2004_BCTC2004" xfId="3170"/>
    <cellStyle name="_KT (2)_4_KE LUONG THUC" xfId="6418"/>
    <cellStyle name="_KT (2)_4_KE LUONG THUC_STANDARD FILE" xfId="6419"/>
    <cellStyle name="_KT (2)_4_KE LUONG THUC111" xfId="6420"/>
    <cellStyle name="_KT (2)_4_KE LUONG THUC111_STANDARD FILE" xfId="6421"/>
    <cellStyle name="_KT (2)_4_KH TPCP 2016-2020 (tong hop)" xfId="3172"/>
    <cellStyle name="_KT (2)_4_KH TPCP vung TNB (03-1-2012)" xfId="3173"/>
    <cellStyle name="_KT (2)_4_kien giang 2" xfId="3171"/>
    <cellStyle name="_KT (2)_4_Lora-tungchau" xfId="3174"/>
    <cellStyle name="_KT (2)_4_Luy ke von ung nam 2011 -Thoa gui ngay 12-8-2012" xfId="3175"/>
    <cellStyle name="_KT (2)_4_NhanCong" xfId="3177"/>
    <cellStyle name="_KT (2)_4_N-X-T-04" xfId="3176"/>
    <cellStyle name="_KT (2)_4_PGIA-phieu tham tra Kho bac" xfId="3178"/>
    <cellStyle name="_KT (2)_4_phu luc tong ket tinh hinh TH giai doan 03-10 (ngay 30)" xfId="3183"/>
    <cellStyle name="_KT (2)_4_PT02-02" xfId="3179"/>
    <cellStyle name="_KT (2)_4_PT02-02_Book1" xfId="3180"/>
    <cellStyle name="_KT (2)_4_PT02-03" xfId="3181"/>
    <cellStyle name="_KT (2)_4_PT02-03_Book1" xfId="3182"/>
    <cellStyle name="_KT (2)_4_Qt-HT3PQ1(CauKho)" xfId="3184"/>
    <cellStyle name="_KT (2)_4_Sheet1" xfId="3185"/>
    <cellStyle name="_KT (2)_4_STANDARD FILE" xfId="6422"/>
    <cellStyle name="_KT (2)_4_STKL KE BAC LIEU" xfId="6423"/>
    <cellStyle name="_KT (2)_4_STKL KE BAC LIEU_STANDARD FILE" xfId="6424"/>
    <cellStyle name="_KT (2)_4_TG-TH" xfId="388"/>
    <cellStyle name="_KT (2)_4_TG-TH_C CHIN TUYEN" xfId="6425"/>
    <cellStyle name="_KT (2)_4_TG-TH_C CHIN TUYEN_STANDARD FILE" xfId="6426"/>
    <cellStyle name="_KT (2)_4_TG-TH_Copy of CAU CHIN TUYEN" xfId="6427"/>
    <cellStyle name="_KT (2)_4_TG-TH_Copy of CAU CHIN TUYEN_STANDARD FILE" xfId="6428"/>
    <cellStyle name="_KT (2)_4_TG-TH_DT CCAU SO 2" xfId="6429"/>
    <cellStyle name="_KT (2)_4_TG-TH_DT CCAU SO 2_STANDARD FILE" xfId="6430"/>
    <cellStyle name="_KT (2)_4_TG-TH_DU TOAN bo bao ba lang" xfId="6431"/>
    <cellStyle name="_KT (2)_4_TG-TH_DU TOAN bo bao ba lang_STANDARD FILE" xfId="6432"/>
    <cellStyle name="_KT (2)_4_TG-TH_Du toan Mau" xfId="6433"/>
    <cellStyle name="_KT (2)_4_TG-TH_Du toan Mau_STANDARD FILE" xfId="6434"/>
    <cellStyle name="_KT (2)_4_TG-TH_GT21_ CONG TIEU Þ60" xfId="6435"/>
    <cellStyle name="_KT (2)_4_TG-TH_GT21_ CONG TIEU Þ60_STANDARD FILE" xfId="6436"/>
    <cellStyle name="_KT (2)_4_TG-TH_GVL4" xfId="6437"/>
    <cellStyle name="_KT (2)_4_TG-TH_GVL4_STANDARD FILE" xfId="6438"/>
    <cellStyle name="_KT (2)_4_TG-TH_GVLmoi" xfId="6439"/>
    <cellStyle name="_KT (2)_4_TG-TH_GVLmoi_STANDARD FILE" xfId="6440"/>
    <cellStyle name="_KT (2)_4_TG-TH_k2+700" xfId="6441"/>
    <cellStyle name="_KT (2)_4_TG-TH_k2+700_STANDARD FILE" xfId="6442"/>
    <cellStyle name="_KT (2)_4_TG-TH_KE LUONG THUC" xfId="6443"/>
    <cellStyle name="_KT (2)_4_TG-TH_KE LUONG THUC_STANDARD FILE" xfId="6444"/>
    <cellStyle name="_KT (2)_4_TG-TH_KE LUONG THUC111" xfId="6445"/>
    <cellStyle name="_KT (2)_4_TG-TH_KE LUONG THUC111_STANDARD FILE" xfId="6446"/>
    <cellStyle name="_KT (2)_4_TG-TH_STANDARD FILE" xfId="6447"/>
    <cellStyle name="_KT (2)_4_TG-TH_STKL KE BAC LIEU" xfId="6448"/>
    <cellStyle name="_KT (2)_4_TG-TH_STKL KE BAC LIEU_STANDARD FILE" xfId="6449"/>
    <cellStyle name="_KT (2)_4_TG-TH_THDT" xfId="6452"/>
    <cellStyle name="_KT (2)_4_TG-TH_THDT_1" xfId="6453"/>
    <cellStyle name="_KT (2)_4_TG-TH_THDT_1_STANDARD FILE" xfId="6454"/>
    <cellStyle name="_KT (2)_4_TG-TH_THDT_STANDARD FILE" xfId="6455"/>
    <cellStyle name="_KT (2)_4_TG-TH_THONG KE THEP" xfId="6456"/>
    <cellStyle name="_KT (2)_4_TG-TH_THONG KE THEP_STANDARD FILE" xfId="6457"/>
    <cellStyle name="_KT (2)_4_TG-TH_TMDTPA1" xfId="6450"/>
    <cellStyle name="_KT (2)_4_TG-TH_TMDTPA1_STANDARD FILE" xfId="6451"/>
    <cellStyle name="_KT (2)_4_THDT" xfId="6462"/>
    <cellStyle name="_KT (2)_4_THDT_1" xfId="6463"/>
    <cellStyle name="_KT (2)_4_THDT_1_STANDARD FILE" xfId="6464"/>
    <cellStyle name="_KT (2)_4_THDT_STANDARD FILE" xfId="6465"/>
    <cellStyle name="_KT (2)_4_THONG KE THEP" xfId="6466"/>
    <cellStyle name="_KT (2)_4_THONG KE THEP_STANDARD FILE" xfId="6467"/>
    <cellStyle name="_KT (2)_4_TK152-04" xfId="3186"/>
    <cellStyle name="_KT (2)_4_TKHC-THOIQUAN-05-04-2004" xfId="6458"/>
    <cellStyle name="_KT (2)_4_TKHC-THOIQUAN-05-04-2004_STANDARD FILE" xfId="6459"/>
    <cellStyle name="_KT (2)_4_TMDTPA1" xfId="6460"/>
    <cellStyle name="_KT (2)_4_TMDTPA1_STANDARD FILE" xfId="6461"/>
    <cellStyle name="_KT (2)_4_ÿÿÿÿÿ" xfId="389"/>
    <cellStyle name="_KT (2)_4_ÿÿÿÿÿ_Bieu mau cong trinh khoi cong moi 3-4" xfId="3187"/>
    <cellStyle name="_KT (2)_4_ÿÿÿÿÿ_Bieu3ODA" xfId="3188"/>
    <cellStyle name="_KT (2)_4_ÿÿÿÿÿ_Bieu4HTMT" xfId="3189"/>
    <cellStyle name="_KT (2)_4_ÿÿÿÿÿ_KH TPCP vung TNB (03-1-2012)" xfId="3191"/>
    <cellStyle name="_KT (2)_4_ÿÿÿÿÿ_kien giang 2" xfId="3190"/>
    <cellStyle name="_KT (2)_5" xfId="390"/>
    <cellStyle name="_KT (2)_5 2" xfId="3192"/>
    <cellStyle name="_KT (2)_5_05-12  KH trung han 2016-2020 - Liem Thinh edited" xfId="3193"/>
    <cellStyle name="_KT (2)_5_ApGiaVatTu_cayxanh_latgach" xfId="3194"/>
    <cellStyle name="_KT (2)_5_BANG TONG HOP TINH HINH THANH QUYET TOAN (MOI I)" xfId="391"/>
    <cellStyle name="_KT (2)_5_BAO CAO KLCT PT2000" xfId="3195"/>
    <cellStyle name="_KT (2)_5_BAO CAO PT2000" xfId="3196"/>
    <cellStyle name="_KT (2)_5_BAO CAO PT2000_Book1" xfId="3197"/>
    <cellStyle name="_KT (2)_5_Bao cao XDCB 2001 - T11 KH dieu chinh 20-11-THAI" xfId="3198"/>
    <cellStyle name="_KT (2)_5_BAO GIA NGAY 24-10-08 (co dam)" xfId="392"/>
    <cellStyle name="_KT (2)_5_BC  NAM 2007" xfId="3199"/>
    <cellStyle name="_KT (2)_5_BC CV 6403 BKHĐT" xfId="3200"/>
    <cellStyle name="_KT (2)_5_BC NQ11-CP - chinh sua lai" xfId="3201"/>
    <cellStyle name="_KT (2)_5_BC NQ11-CP-Quynh sau bieu so3" xfId="3202"/>
    <cellStyle name="_KT (2)_5_BC_NQ11-CP_-_Thao_sua_lai" xfId="3203"/>
    <cellStyle name="_KT (2)_5_Bieu mau cong trinh khoi cong moi 3-4" xfId="3204"/>
    <cellStyle name="_KT (2)_5_Bieu3ODA" xfId="3205"/>
    <cellStyle name="_KT (2)_5_Bieu3ODA_1" xfId="3206"/>
    <cellStyle name="_KT (2)_5_Bieu4HTMT" xfId="3207"/>
    <cellStyle name="_KT (2)_5_bo sung von KCH nam 2010 va Du an tre kho khan" xfId="3208"/>
    <cellStyle name="_KT (2)_5_Book1" xfId="393"/>
    <cellStyle name="_KT (2)_5_Book1 2" xfId="3209"/>
    <cellStyle name="_KT (2)_5_Book1_1" xfId="394"/>
    <cellStyle name="_KT (2)_5_Book1_1 2" xfId="3210"/>
    <cellStyle name="_KT (2)_5_Book1_1_BC CV 6403 BKHĐT" xfId="3211"/>
    <cellStyle name="_KT (2)_5_Book1_1_Bieu mau cong trinh khoi cong moi 3-4" xfId="3212"/>
    <cellStyle name="_KT (2)_5_Book1_1_Bieu3ODA" xfId="3213"/>
    <cellStyle name="_KT (2)_5_Book1_1_Bieu4HTMT" xfId="3214"/>
    <cellStyle name="_KT (2)_5_Book1_1_Book1" xfId="3215"/>
    <cellStyle name="_KT (2)_5_Book1_1_Luy ke von ung nam 2011 -Thoa gui ngay 12-8-2012" xfId="3216"/>
    <cellStyle name="_KT (2)_5_Book1_1_STANDARD FILE" xfId="6468"/>
    <cellStyle name="_KT (2)_5_Book1_2" xfId="3217"/>
    <cellStyle name="_KT (2)_5_Book1_2 2" xfId="3218"/>
    <cellStyle name="_KT (2)_5_Book1_2_BC CV 6403 BKHĐT" xfId="3219"/>
    <cellStyle name="_KT (2)_5_Book1_2_Bieu3ODA" xfId="3220"/>
    <cellStyle name="_KT (2)_5_Book1_2_Luy ke von ung nam 2011 -Thoa gui ngay 12-8-2012" xfId="3221"/>
    <cellStyle name="_KT (2)_5_Book1_3" xfId="3222"/>
    <cellStyle name="_KT (2)_5_Book1_BC CV 6403 BKHĐT" xfId="3223"/>
    <cellStyle name="_KT (2)_5_Book1_BC-QT-WB-dthao" xfId="3224"/>
    <cellStyle name="_KT (2)_5_Book1_Bieu mau cong trinh khoi cong moi 3-4" xfId="3225"/>
    <cellStyle name="_KT (2)_5_Book1_Bieu3ODA" xfId="3226"/>
    <cellStyle name="_KT (2)_5_Book1_Bieu4HTMT" xfId="3227"/>
    <cellStyle name="_KT (2)_5_Book1_bo sung von KCH nam 2010 va Du an tre kho khan" xfId="3228"/>
    <cellStyle name="_KT (2)_5_Book1_Book1" xfId="3229"/>
    <cellStyle name="_KT (2)_5_Book1_C CHIN TUYEN" xfId="6469"/>
    <cellStyle name="_KT (2)_5_Book1_C CHIN TUYEN_STANDARD FILE" xfId="6470"/>
    <cellStyle name="_KT (2)_5_Book1_Copy of CAU CHIN TUYEN" xfId="6471"/>
    <cellStyle name="_KT (2)_5_Book1_Copy of CAU CHIN TUYEN_STANDARD FILE" xfId="6472"/>
    <cellStyle name="_KT (2)_5_Book1_danh muc chuan bi dau tu 2011 ngay 07-6-2011" xfId="3230"/>
    <cellStyle name="_KT (2)_5_Book1_Danh muc pbo nguon von XSKT, XDCB nam 2009 chuyen qua nam 2010" xfId="3231"/>
    <cellStyle name="_KT (2)_5_Book1_dieu chinh KH 2011 ngay 26-5-2011111" xfId="3232"/>
    <cellStyle name="_KT (2)_5_Book1_DS KCH PHAN BO VON NSDP NAM 2010" xfId="3233"/>
    <cellStyle name="_KT (2)_5_Book1_DT CCAU SO 2" xfId="6473"/>
    <cellStyle name="_KT (2)_5_Book1_DT CCAU SO 2_STANDARD FILE" xfId="6474"/>
    <cellStyle name="_KT (2)_5_Book1_DU TOAN bo bao ba lang" xfId="6475"/>
    <cellStyle name="_KT (2)_5_Book1_DU TOAN bo bao ba lang_STANDARD FILE" xfId="6476"/>
    <cellStyle name="_KT (2)_5_Book1_Du toan Mau" xfId="6477"/>
    <cellStyle name="_KT (2)_5_Book1_Du toan Mau_STANDARD FILE" xfId="6478"/>
    <cellStyle name="_KT (2)_5_Book1_giao KH 2011 ngay 10-12-2010" xfId="3234"/>
    <cellStyle name="_KT (2)_5_Book1_GT21_ CONG TIEU Þ60" xfId="6479"/>
    <cellStyle name="_KT (2)_5_Book1_GT21_ CONG TIEU Þ60_STANDARD FILE" xfId="6480"/>
    <cellStyle name="_KT (2)_5_Book1_Luy ke von ung nam 2011 -Thoa gui ngay 12-8-2012" xfId="3235"/>
    <cellStyle name="_KT (2)_5_Book1_STANDARD FILE" xfId="6481"/>
    <cellStyle name="_KT (2)_5_Book1_THDT" xfId="6486"/>
    <cellStyle name="_KT (2)_5_Book1_THDT_STANDARD FILE" xfId="6487"/>
    <cellStyle name="_KT (2)_5_Book1_THDTGOI 21" xfId="6488"/>
    <cellStyle name="_KT (2)_5_Book1_THDTGOI 21_STANDARD FILE" xfId="6489"/>
    <cellStyle name="_KT (2)_5_Book1_THONG KE THEP" xfId="6490"/>
    <cellStyle name="_KT (2)_5_Book1_THONG KE THEP_STANDARD FILE" xfId="6491"/>
    <cellStyle name="_KT (2)_5_Book1_TKHC-THOIQUAN-05-04-2004" xfId="6482"/>
    <cellStyle name="_KT (2)_5_Book1_TKHC-THOIQUAN-05-04-2004_STANDARD FILE" xfId="6483"/>
    <cellStyle name="_KT (2)_5_Book1_TONG DU TOAN VINH LONG-PA1" xfId="6484"/>
    <cellStyle name="_KT (2)_5_Book1_TONG DU TOAN VINH LONG-PA1_STANDARD FILE" xfId="6485"/>
    <cellStyle name="_KT (2)_5_C CHIN TUYEN" xfId="6492"/>
    <cellStyle name="_KT (2)_5_C CHIN TUYEN_STANDARD FILE" xfId="6493"/>
    <cellStyle name="_KT (2)_5_CAU Khanh Nam(Thi Cong)" xfId="395"/>
    <cellStyle name="_KT (2)_5_ChiHuong_ApGia" xfId="3238"/>
    <cellStyle name="_KT (2)_5_CoCauPhi (version 1)" xfId="3236"/>
    <cellStyle name="_KT (2)_5_Copy of 05-12  KH trung han 2016-2020 - Liem Thinh edited (1)" xfId="3237"/>
    <cellStyle name="_KT (2)_5_Copy of CAU CHIN TUYEN" xfId="6494"/>
    <cellStyle name="_KT (2)_5_Copy of CAU CHIN TUYEN_STANDARD FILE" xfId="6495"/>
    <cellStyle name="_KT (2)_5_danh muc chuan bi dau tu 2011 ngay 07-6-2011" xfId="3239"/>
    <cellStyle name="_KT (2)_5_Danh muc pbo nguon von XSKT, XDCB nam 2009 chuyen qua nam 2010" xfId="3240"/>
    <cellStyle name="_KT (2)_5_DAU NOI PL-CL TAI PHU LAMHC" xfId="3241"/>
    <cellStyle name="_KT (2)_5_dieu chinh KH 2011 ngay 26-5-2011111" xfId="3242"/>
    <cellStyle name="_KT (2)_5_DS KCH PHAN BO VON NSDP NAM 2010" xfId="3243"/>
    <cellStyle name="_KT (2)_5_DT CCAU SO 2" xfId="6496"/>
    <cellStyle name="_KT (2)_5_DT CCAU SO 2_STANDARD FILE" xfId="6497"/>
    <cellStyle name="_KT (2)_5_DTCDT MR.2N110.HOCMON.TDTOAN.CCUNG" xfId="3244"/>
    <cellStyle name="_KT (2)_5_DU TOAN bo bao ba lang" xfId="6498"/>
    <cellStyle name="_KT (2)_5_DU TOAN bo bao ba lang_STANDARD FILE" xfId="6499"/>
    <cellStyle name="_KT (2)_5_Du toan Mau" xfId="6500"/>
    <cellStyle name="_KT (2)_5_Du toan Mau_STANDARD FILE" xfId="6501"/>
    <cellStyle name="_KT (2)_5_DU TRU VAT TU" xfId="396"/>
    <cellStyle name="_KT (2)_5_giao KH 2011 ngay 10-12-2010" xfId="3246"/>
    <cellStyle name="_KT (2)_5_GT21_ CONG TIEU Þ60" xfId="6502"/>
    <cellStyle name="_KT (2)_5_GT21_ CONG TIEU Þ60_STANDARD FILE" xfId="6503"/>
    <cellStyle name="_KT (2)_5_GTGT 2003" xfId="3245"/>
    <cellStyle name="_KT (2)_5_GVL4" xfId="6504"/>
    <cellStyle name="_KT (2)_5_GVL4_STANDARD FILE" xfId="6505"/>
    <cellStyle name="_KT (2)_5_GVLmoi" xfId="6506"/>
    <cellStyle name="_KT (2)_5_GVLmoi_STANDARD FILE" xfId="6507"/>
    <cellStyle name="_KT (2)_5_k2+700" xfId="6508"/>
    <cellStyle name="_KT (2)_5_k2+700_STANDARD FILE" xfId="6509"/>
    <cellStyle name="_KT (2)_5_KE KHAI THUE GTGT 2004" xfId="3247"/>
    <cellStyle name="_KT (2)_5_KE KHAI THUE GTGT 2004_BCTC2004" xfId="3248"/>
    <cellStyle name="_KT (2)_5_KE LUONG THUC" xfId="6510"/>
    <cellStyle name="_KT (2)_5_KE LUONG THUC_STANDARD FILE" xfId="6511"/>
    <cellStyle name="_KT (2)_5_KE LUONG THUC111" xfId="6512"/>
    <cellStyle name="_KT (2)_5_KE LUONG THUC111_STANDARD FILE" xfId="6513"/>
    <cellStyle name="_KT (2)_5_KH TPCP 2016-2020 (tong hop)" xfId="3250"/>
    <cellStyle name="_KT (2)_5_KH TPCP vung TNB (03-1-2012)" xfId="3251"/>
    <cellStyle name="_KT (2)_5_kien giang 2" xfId="3249"/>
    <cellStyle name="_KT (2)_5_Lora-tungchau" xfId="3252"/>
    <cellStyle name="_KT (2)_5_Luy ke von ung nam 2011 -Thoa gui ngay 12-8-2012" xfId="3253"/>
    <cellStyle name="_KT (2)_5_NhanCong" xfId="3255"/>
    <cellStyle name="_KT (2)_5_N-X-T-04" xfId="3254"/>
    <cellStyle name="_KT (2)_5_PGIA-phieu tham tra Kho bac" xfId="3256"/>
    <cellStyle name="_KT (2)_5_phu luc tong ket tinh hinh TH giai doan 03-10 (ngay 30)" xfId="3261"/>
    <cellStyle name="_KT (2)_5_PT02-02" xfId="3257"/>
    <cellStyle name="_KT (2)_5_PT02-02_Book1" xfId="3258"/>
    <cellStyle name="_KT (2)_5_PT02-03" xfId="3259"/>
    <cellStyle name="_KT (2)_5_PT02-03_Book1" xfId="3260"/>
    <cellStyle name="_KT (2)_5_Qt-HT3PQ1(CauKho)" xfId="3262"/>
    <cellStyle name="_KT (2)_5_Sheet1" xfId="3263"/>
    <cellStyle name="_KT (2)_5_STANDARD FILE" xfId="6514"/>
    <cellStyle name="_KT (2)_5_STKL KE BAC LIEU" xfId="6515"/>
    <cellStyle name="_KT (2)_5_STKL KE BAC LIEU_STANDARD FILE" xfId="6516"/>
    <cellStyle name="_KT (2)_5_THDT" xfId="6521"/>
    <cellStyle name="_KT (2)_5_THDT_1" xfId="6522"/>
    <cellStyle name="_KT (2)_5_THDT_1_STANDARD FILE" xfId="6523"/>
    <cellStyle name="_KT (2)_5_THDT_STANDARD FILE" xfId="6524"/>
    <cellStyle name="_KT (2)_5_THONG KE THEP" xfId="6525"/>
    <cellStyle name="_KT (2)_5_THONG KE THEP_STANDARD FILE" xfId="6526"/>
    <cellStyle name="_KT (2)_5_TK152-04" xfId="3264"/>
    <cellStyle name="_KT (2)_5_TKHC-THOIQUAN-05-04-2004" xfId="6517"/>
    <cellStyle name="_KT (2)_5_TKHC-THOIQUAN-05-04-2004_STANDARD FILE" xfId="6518"/>
    <cellStyle name="_KT (2)_5_TMDTPA1" xfId="6519"/>
    <cellStyle name="_KT (2)_5_TMDTPA1_STANDARD FILE" xfId="6520"/>
    <cellStyle name="_KT (2)_5_ÿÿÿÿÿ" xfId="397"/>
    <cellStyle name="_KT (2)_5_ÿÿÿÿÿ_Bieu mau cong trinh khoi cong moi 3-4" xfId="3265"/>
    <cellStyle name="_KT (2)_5_ÿÿÿÿÿ_Bieu3ODA" xfId="3266"/>
    <cellStyle name="_KT (2)_5_ÿÿÿÿÿ_Bieu4HTMT" xfId="3267"/>
    <cellStyle name="_KT (2)_5_ÿÿÿÿÿ_KH TPCP vung TNB (03-1-2012)" xfId="3269"/>
    <cellStyle name="_KT (2)_5_ÿÿÿÿÿ_kien giang 2" xfId="3268"/>
    <cellStyle name="_KT (2)_BC  NAM 2007" xfId="3270"/>
    <cellStyle name="_KT (2)_Bieu mau cong trinh khoi cong moi 3-4" xfId="3271"/>
    <cellStyle name="_KT (2)_Bieu3ODA" xfId="3272"/>
    <cellStyle name="_KT (2)_Bieu3ODA_1" xfId="3273"/>
    <cellStyle name="_KT (2)_Bieu4HTMT" xfId="3274"/>
    <cellStyle name="_KT (2)_bo sung von KCH nam 2010 va Du an tre kho khan" xfId="3275"/>
    <cellStyle name="_KT (2)_Book1" xfId="3276"/>
    <cellStyle name="_KT (2)_Book1 2" xfId="3277"/>
    <cellStyle name="_KT (2)_Book1_1" xfId="6527"/>
    <cellStyle name="_KT (2)_Book1_1_STANDARD FILE" xfId="6528"/>
    <cellStyle name="_KT (2)_Book1_BC-QT-WB-dthao" xfId="3278"/>
    <cellStyle name="_KT (2)_Book1_BC-QT-WB-dthao_05-12  KH trung han 2016-2020 - Liem Thinh edited" xfId="3279"/>
    <cellStyle name="_KT (2)_Book1_BC-QT-WB-dthao_Copy of 05-12  KH trung han 2016-2020 - Liem Thinh edited (1)" xfId="3280"/>
    <cellStyle name="_KT (2)_Book1_BC-QT-WB-dthao_KH TPCP 2016-2020 (tong hop)" xfId="3281"/>
    <cellStyle name="_KT (2)_Book1_KH TPCP vung TNB (03-1-2012)" xfId="3283"/>
    <cellStyle name="_KT (2)_Book1_kien giang 2" xfId="3282"/>
    <cellStyle name="_KT (2)_Book1_STANDARD FILE" xfId="6529"/>
    <cellStyle name="_KT (2)_Book1_TKHC-THOIQUAN-05-04-2004" xfId="6530"/>
    <cellStyle name="_KT (2)_Book1_TKHC-THOIQUAN-05-04-2004_STANDARD FILE" xfId="6531"/>
    <cellStyle name="_KT (2)_C CHIN TUYEN" xfId="6532"/>
    <cellStyle name="_KT (2)_C CHIN TUYEN_STANDARD FILE" xfId="6533"/>
    <cellStyle name="_KT (2)_Copy of 05-12  KH trung han 2016-2020 - Liem Thinh edited (1)" xfId="3284"/>
    <cellStyle name="_KT (2)_Copy of CAU CHIN TUYEN" xfId="6534"/>
    <cellStyle name="_KT (2)_Copy of CAU CHIN TUYEN_STANDARD FILE" xfId="6535"/>
    <cellStyle name="_KT (2)_danh muc chuan bi dau tu 2011 ngay 07-6-2011" xfId="3285"/>
    <cellStyle name="_KT (2)_Danh muc pbo nguon von XSKT, XDCB nam 2009 chuyen qua nam 2010" xfId="3286"/>
    <cellStyle name="_KT (2)_dieu chinh KH 2011 ngay 26-5-2011111" xfId="3287"/>
    <cellStyle name="_KT (2)_DS KCH PHAN BO VON NSDP NAM 2010" xfId="3288"/>
    <cellStyle name="_KT (2)_DT CCAU SO 2" xfId="6536"/>
    <cellStyle name="_KT (2)_DT CCAU SO 2_STANDARD FILE" xfId="6537"/>
    <cellStyle name="_KT (2)_DU TOAN bo bao ba lang" xfId="6538"/>
    <cellStyle name="_KT (2)_DU TOAN bo bao ba lang_STANDARD FILE" xfId="6539"/>
    <cellStyle name="_KT (2)_Du toan Mau" xfId="6540"/>
    <cellStyle name="_KT (2)_Du toan Mau_STANDARD FILE" xfId="6541"/>
    <cellStyle name="_KT (2)_giao KH 2011 ngay 10-12-2010" xfId="3290"/>
    <cellStyle name="_KT (2)_GT21_ CONG TIEU Þ60" xfId="6542"/>
    <cellStyle name="_KT (2)_GT21_ CONG TIEU Þ60_STANDARD FILE" xfId="6543"/>
    <cellStyle name="_KT (2)_GTGT 2003" xfId="3289"/>
    <cellStyle name="_KT (2)_GVL4" xfId="6544"/>
    <cellStyle name="_KT (2)_GVL4_STANDARD FILE" xfId="6545"/>
    <cellStyle name="_KT (2)_GVLmoi" xfId="6546"/>
    <cellStyle name="_KT (2)_GVLmoi_STANDARD FILE" xfId="6547"/>
    <cellStyle name="_KT (2)_k2+700" xfId="6548"/>
    <cellStyle name="_KT (2)_k2+700_STANDARD FILE" xfId="6549"/>
    <cellStyle name="_KT (2)_KE KHAI THUE GTGT 2004" xfId="3291"/>
    <cellStyle name="_KT (2)_KE KHAI THUE GTGT 2004_BCTC2004" xfId="3292"/>
    <cellStyle name="_KT (2)_KE LUONG THUC" xfId="6550"/>
    <cellStyle name="_KT (2)_KE LUONG THUC_STANDARD FILE" xfId="6551"/>
    <cellStyle name="_KT (2)_KE LUONG THUC111" xfId="6552"/>
    <cellStyle name="_KT (2)_KE LUONG THUC111_STANDARD FILE" xfId="6553"/>
    <cellStyle name="_KT (2)_KH TPCP 2016-2020 (tong hop)" xfId="3294"/>
    <cellStyle name="_KT (2)_KH TPCP vung TNB (03-1-2012)" xfId="3295"/>
    <cellStyle name="_KT (2)_kien giang 2" xfId="3293"/>
    <cellStyle name="_KT (2)_Lora-tungchau" xfId="3296"/>
    <cellStyle name="_KT (2)_Lora-tungchau 2" xfId="3297"/>
    <cellStyle name="_KT (2)_Lora-tungchau_05-12  KH trung han 2016-2020 - Liem Thinh edited" xfId="3298"/>
    <cellStyle name="_KT (2)_Lora-tungchau_Copy of 05-12  KH trung han 2016-2020 - Liem Thinh edited (1)" xfId="3299"/>
    <cellStyle name="_KT (2)_Lora-tungchau_KH TPCP 2016-2020 (tong hop)" xfId="3300"/>
    <cellStyle name="_KT (2)_N-X-T-04" xfId="3301"/>
    <cellStyle name="_KT (2)_PERSONAL" xfId="398"/>
    <cellStyle name="_KT (2)_PERSONAL_BC CV 6403 BKHĐT" xfId="3302"/>
    <cellStyle name="_KT (2)_PERSONAL_Bieu mau cong trinh khoi cong moi 3-4" xfId="3303"/>
    <cellStyle name="_KT (2)_PERSONAL_Bieu3ODA" xfId="3304"/>
    <cellStyle name="_KT (2)_PERSONAL_Bieu4HTMT" xfId="3305"/>
    <cellStyle name="_KT (2)_PERSONAL_Book1" xfId="399"/>
    <cellStyle name="_KT (2)_PERSONAL_Book1 2" xfId="3306"/>
    <cellStyle name="_KT (2)_PERSONAL_Book1_STANDARD FILE" xfId="6554"/>
    <cellStyle name="_KT (2)_PERSONAL_HTQ.8 GD1" xfId="3307"/>
    <cellStyle name="_KT (2)_PERSONAL_HTQ.8 GD1_05-12  KH trung han 2016-2020 - Liem Thinh edited" xfId="3308"/>
    <cellStyle name="_KT (2)_PERSONAL_HTQ.8 GD1_Copy of 05-12  KH trung han 2016-2020 - Liem Thinh edited (1)" xfId="3309"/>
    <cellStyle name="_KT (2)_PERSONAL_HTQ.8 GD1_KH TPCP 2016-2020 (tong hop)" xfId="3310"/>
    <cellStyle name="_KT (2)_PERSONAL_Luy ke von ung nam 2011 -Thoa gui ngay 12-8-2012" xfId="3311"/>
    <cellStyle name="_KT (2)_PERSONAL_STANDARD FILE" xfId="6555"/>
    <cellStyle name="_KT (2)_PERSONAL_Tong hop KHCB 2001" xfId="400"/>
    <cellStyle name="_KT (2)_PERSONAL_Tong hop KHCB 2001_STANDARD FILE" xfId="6556"/>
    <cellStyle name="_KT (2)_Qt-HT3PQ1(CauKho)" xfId="3312"/>
    <cellStyle name="_KT (2)_STANDARD FILE" xfId="6557"/>
    <cellStyle name="_KT (2)_STKL KE BAC LIEU" xfId="6558"/>
    <cellStyle name="_KT (2)_STKL KE BAC LIEU_STANDARD FILE" xfId="6559"/>
    <cellStyle name="_KT (2)_TG-TH" xfId="401"/>
    <cellStyle name="_KT (2)_TG-TH_STANDARD FILE" xfId="6560"/>
    <cellStyle name="_KT (2)_THDT" xfId="6565"/>
    <cellStyle name="_KT (2)_THDT_1" xfId="6566"/>
    <cellStyle name="_KT (2)_THDT_1_STANDARD FILE" xfId="6567"/>
    <cellStyle name="_KT (2)_THDT_STANDARD FILE" xfId="6568"/>
    <cellStyle name="_KT (2)_THONG KE THEP" xfId="6569"/>
    <cellStyle name="_KT (2)_THONG KE THEP_STANDARD FILE" xfId="6570"/>
    <cellStyle name="_KT (2)_TK152-04" xfId="3313"/>
    <cellStyle name="_KT (2)_TKHC-THOIQUAN-05-04-2004" xfId="6561"/>
    <cellStyle name="_KT (2)_TKHC-THOIQUAN-05-04-2004_STANDARD FILE" xfId="6562"/>
    <cellStyle name="_KT (2)_TMDTPA1" xfId="6563"/>
    <cellStyle name="_KT (2)_TMDTPA1_STANDARD FILE" xfId="6564"/>
    <cellStyle name="_KT (2)_ÿÿÿÿÿ" xfId="3314"/>
    <cellStyle name="_KT (2)_ÿÿÿÿÿ_KH TPCP vung TNB (03-1-2012)" xfId="3316"/>
    <cellStyle name="_KT (2)_ÿÿÿÿÿ_kien giang 2" xfId="3315"/>
    <cellStyle name="_KT_TG" xfId="402"/>
    <cellStyle name="_KT_TG_1" xfId="403"/>
    <cellStyle name="_KT_TG_1 2" xfId="3317"/>
    <cellStyle name="_KT_TG_1_05-12  KH trung han 2016-2020 - Liem Thinh edited" xfId="3318"/>
    <cellStyle name="_KT_TG_1_ApGiaVatTu_cayxanh_latgach" xfId="3319"/>
    <cellStyle name="_KT_TG_1_BANG TONG HOP TINH HINH THANH QUYET TOAN (MOI I)" xfId="404"/>
    <cellStyle name="_KT_TG_1_BAO CAO KLCT PT2000" xfId="3320"/>
    <cellStyle name="_KT_TG_1_BAO CAO PT2000" xfId="3321"/>
    <cellStyle name="_KT_TG_1_BAO CAO PT2000_Book1" xfId="3322"/>
    <cellStyle name="_KT_TG_1_Bao cao XDCB 2001 - T11 KH dieu chinh 20-11-THAI" xfId="3323"/>
    <cellStyle name="_KT_TG_1_BAO GIA NGAY 24-10-08 (co dam)" xfId="405"/>
    <cellStyle name="_KT_TG_1_BC  NAM 2007" xfId="3324"/>
    <cellStyle name="_KT_TG_1_BC CV 6403 BKHĐT" xfId="3325"/>
    <cellStyle name="_KT_TG_1_BC NQ11-CP - chinh sua lai" xfId="3326"/>
    <cellStyle name="_KT_TG_1_BC NQ11-CP-Quynh sau bieu so3" xfId="3327"/>
    <cellStyle name="_KT_TG_1_BC_NQ11-CP_-_Thao_sua_lai" xfId="3328"/>
    <cellStyle name="_KT_TG_1_Bieu mau cong trinh khoi cong moi 3-4" xfId="3329"/>
    <cellStyle name="_KT_TG_1_Bieu3ODA" xfId="3330"/>
    <cellStyle name="_KT_TG_1_Bieu3ODA_1" xfId="3331"/>
    <cellStyle name="_KT_TG_1_Bieu4HTMT" xfId="3332"/>
    <cellStyle name="_KT_TG_1_bo sung von KCH nam 2010 va Du an tre kho khan" xfId="3333"/>
    <cellStyle name="_KT_TG_1_Book1" xfId="406"/>
    <cellStyle name="_KT_TG_1_Book1 2" xfId="3334"/>
    <cellStyle name="_KT_TG_1_Book1_1" xfId="407"/>
    <cellStyle name="_KT_TG_1_Book1_1 2" xfId="3335"/>
    <cellStyle name="_KT_TG_1_Book1_1_BC CV 6403 BKHĐT" xfId="3336"/>
    <cellStyle name="_KT_TG_1_Book1_1_Bieu mau cong trinh khoi cong moi 3-4" xfId="3337"/>
    <cellStyle name="_KT_TG_1_Book1_1_Bieu3ODA" xfId="3338"/>
    <cellStyle name="_KT_TG_1_Book1_1_Bieu4HTMT" xfId="3339"/>
    <cellStyle name="_KT_TG_1_Book1_1_Book1" xfId="3340"/>
    <cellStyle name="_KT_TG_1_Book1_1_Luy ke von ung nam 2011 -Thoa gui ngay 12-8-2012" xfId="3341"/>
    <cellStyle name="_KT_TG_1_Book1_1_STANDARD FILE" xfId="6571"/>
    <cellStyle name="_KT_TG_1_Book1_2" xfId="3342"/>
    <cellStyle name="_KT_TG_1_Book1_2 2" xfId="3343"/>
    <cellStyle name="_KT_TG_1_Book1_2_BC CV 6403 BKHĐT" xfId="3344"/>
    <cellStyle name="_KT_TG_1_Book1_2_Bieu3ODA" xfId="3345"/>
    <cellStyle name="_KT_TG_1_Book1_2_Luy ke von ung nam 2011 -Thoa gui ngay 12-8-2012" xfId="3346"/>
    <cellStyle name="_KT_TG_1_Book1_3" xfId="3347"/>
    <cellStyle name="_KT_TG_1_Book1_BC CV 6403 BKHĐT" xfId="3348"/>
    <cellStyle name="_KT_TG_1_Book1_BC-QT-WB-dthao" xfId="3349"/>
    <cellStyle name="_KT_TG_1_Book1_Bieu mau cong trinh khoi cong moi 3-4" xfId="3350"/>
    <cellStyle name="_KT_TG_1_Book1_Bieu3ODA" xfId="3351"/>
    <cellStyle name="_KT_TG_1_Book1_Bieu4HTMT" xfId="3352"/>
    <cellStyle name="_KT_TG_1_Book1_bo sung von KCH nam 2010 va Du an tre kho khan" xfId="3353"/>
    <cellStyle name="_KT_TG_1_Book1_Book1" xfId="3354"/>
    <cellStyle name="_KT_TG_1_Book1_C CHIN TUYEN" xfId="6572"/>
    <cellStyle name="_KT_TG_1_Book1_C CHIN TUYEN_STANDARD FILE" xfId="6573"/>
    <cellStyle name="_KT_TG_1_Book1_Copy of CAU CHIN TUYEN" xfId="6574"/>
    <cellStyle name="_KT_TG_1_Book1_Copy of CAU CHIN TUYEN_STANDARD FILE" xfId="6575"/>
    <cellStyle name="_KT_TG_1_Book1_danh muc chuan bi dau tu 2011 ngay 07-6-2011" xfId="3355"/>
    <cellStyle name="_KT_TG_1_Book1_Danh muc pbo nguon von XSKT, XDCB nam 2009 chuyen qua nam 2010" xfId="3356"/>
    <cellStyle name="_KT_TG_1_Book1_dieu chinh KH 2011 ngay 26-5-2011111" xfId="3357"/>
    <cellStyle name="_KT_TG_1_Book1_DS KCH PHAN BO VON NSDP NAM 2010" xfId="3358"/>
    <cellStyle name="_KT_TG_1_Book1_DT CCAU SO 2" xfId="6576"/>
    <cellStyle name="_KT_TG_1_Book1_DT CCAU SO 2_STANDARD FILE" xfId="6577"/>
    <cellStyle name="_KT_TG_1_Book1_DU TOAN bo bao ba lang" xfId="6578"/>
    <cellStyle name="_KT_TG_1_Book1_DU TOAN bo bao ba lang_STANDARD FILE" xfId="6579"/>
    <cellStyle name="_KT_TG_1_Book1_Du toan Mau" xfId="6580"/>
    <cellStyle name="_KT_TG_1_Book1_Du toan Mau_STANDARD FILE" xfId="6581"/>
    <cellStyle name="_KT_TG_1_Book1_giao KH 2011 ngay 10-12-2010" xfId="3359"/>
    <cellStyle name="_KT_TG_1_Book1_GT21_ CONG TIEU Þ60" xfId="6582"/>
    <cellStyle name="_KT_TG_1_Book1_GT21_ CONG TIEU Þ60_STANDARD FILE" xfId="6583"/>
    <cellStyle name="_KT_TG_1_Book1_Luy ke von ung nam 2011 -Thoa gui ngay 12-8-2012" xfId="3360"/>
    <cellStyle name="_KT_TG_1_Book1_STANDARD FILE" xfId="6584"/>
    <cellStyle name="_KT_TG_1_Book1_THDT" xfId="6589"/>
    <cellStyle name="_KT_TG_1_Book1_THDT_STANDARD FILE" xfId="6590"/>
    <cellStyle name="_KT_TG_1_Book1_THDTGOI 21" xfId="6591"/>
    <cellStyle name="_KT_TG_1_Book1_THDTGOI 21_STANDARD FILE" xfId="6592"/>
    <cellStyle name="_KT_TG_1_Book1_THONG KE THEP" xfId="6593"/>
    <cellStyle name="_KT_TG_1_Book1_THONG KE THEP_STANDARD FILE" xfId="6594"/>
    <cellStyle name="_KT_TG_1_Book1_TKHC-THOIQUAN-05-04-2004" xfId="6585"/>
    <cellStyle name="_KT_TG_1_Book1_TKHC-THOIQUAN-05-04-2004_STANDARD FILE" xfId="6586"/>
    <cellStyle name="_KT_TG_1_Book1_TONG DU TOAN VINH LONG-PA1" xfId="6587"/>
    <cellStyle name="_KT_TG_1_Book1_TONG DU TOAN VINH LONG-PA1_STANDARD FILE" xfId="6588"/>
    <cellStyle name="_KT_TG_1_C CHIN TUYEN" xfId="6595"/>
    <cellStyle name="_KT_TG_1_C CHIN TUYEN_STANDARD FILE" xfId="6596"/>
    <cellStyle name="_KT_TG_1_CAU Khanh Nam(Thi Cong)" xfId="408"/>
    <cellStyle name="_KT_TG_1_ChiHuong_ApGia" xfId="3363"/>
    <cellStyle name="_KT_TG_1_CoCauPhi (version 1)" xfId="3361"/>
    <cellStyle name="_KT_TG_1_Copy of 05-12  KH trung han 2016-2020 - Liem Thinh edited (1)" xfId="3362"/>
    <cellStyle name="_KT_TG_1_Copy of CAU CHIN TUYEN" xfId="6597"/>
    <cellStyle name="_KT_TG_1_Copy of CAU CHIN TUYEN_STANDARD FILE" xfId="6598"/>
    <cellStyle name="_KT_TG_1_danh muc chuan bi dau tu 2011 ngay 07-6-2011" xfId="3364"/>
    <cellStyle name="_KT_TG_1_Danh muc pbo nguon von XSKT, XDCB nam 2009 chuyen qua nam 2010" xfId="3365"/>
    <cellStyle name="_KT_TG_1_DAU NOI PL-CL TAI PHU LAMHC" xfId="3366"/>
    <cellStyle name="_KT_TG_1_dieu chinh KH 2011 ngay 26-5-2011111" xfId="3367"/>
    <cellStyle name="_KT_TG_1_DS KCH PHAN BO VON NSDP NAM 2010" xfId="3368"/>
    <cellStyle name="_KT_TG_1_DT CCAU SO 2" xfId="6599"/>
    <cellStyle name="_KT_TG_1_DT CCAU SO 2_STANDARD FILE" xfId="6600"/>
    <cellStyle name="_KT_TG_1_DTCDT MR.2N110.HOCMON.TDTOAN.CCUNG" xfId="3369"/>
    <cellStyle name="_KT_TG_1_DU TOAN bo bao ba lang" xfId="6601"/>
    <cellStyle name="_KT_TG_1_DU TOAN bo bao ba lang_STANDARD FILE" xfId="6602"/>
    <cellStyle name="_KT_TG_1_Du toan Mau" xfId="6603"/>
    <cellStyle name="_KT_TG_1_Du toan Mau_STANDARD FILE" xfId="6604"/>
    <cellStyle name="_KT_TG_1_DU TRU VAT TU" xfId="409"/>
    <cellStyle name="_KT_TG_1_giao KH 2011 ngay 10-12-2010" xfId="3371"/>
    <cellStyle name="_KT_TG_1_GT21_ CONG TIEU Þ60" xfId="6605"/>
    <cellStyle name="_KT_TG_1_GT21_ CONG TIEU Þ60_STANDARD FILE" xfId="6606"/>
    <cellStyle name="_KT_TG_1_GTGT 2003" xfId="3370"/>
    <cellStyle name="_KT_TG_1_GVL4" xfId="6607"/>
    <cellStyle name="_KT_TG_1_GVL4_STANDARD FILE" xfId="6608"/>
    <cellStyle name="_KT_TG_1_GVLmoi" xfId="6609"/>
    <cellStyle name="_KT_TG_1_GVLmoi_STANDARD FILE" xfId="6610"/>
    <cellStyle name="_KT_TG_1_k2+700" xfId="6611"/>
    <cellStyle name="_KT_TG_1_k2+700_STANDARD FILE" xfId="6612"/>
    <cellStyle name="_KT_TG_1_KE KHAI THUE GTGT 2004" xfId="3372"/>
    <cellStyle name="_KT_TG_1_KE KHAI THUE GTGT 2004_BCTC2004" xfId="3373"/>
    <cellStyle name="_KT_TG_1_KE LUONG THUC" xfId="6613"/>
    <cellStyle name="_KT_TG_1_KE LUONG THUC_STANDARD FILE" xfId="6614"/>
    <cellStyle name="_KT_TG_1_KE LUONG THUC111" xfId="6615"/>
    <cellStyle name="_KT_TG_1_KE LUONG THUC111_STANDARD FILE" xfId="6616"/>
    <cellStyle name="_KT_TG_1_KH TPCP 2016-2020 (tong hop)" xfId="3375"/>
    <cellStyle name="_KT_TG_1_KH TPCP vung TNB (03-1-2012)" xfId="3376"/>
    <cellStyle name="_KT_TG_1_kien giang 2" xfId="3374"/>
    <cellStyle name="_KT_TG_1_Lora-tungchau" xfId="3377"/>
    <cellStyle name="_KT_TG_1_Luy ke von ung nam 2011 -Thoa gui ngay 12-8-2012" xfId="3378"/>
    <cellStyle name="_KT_TG_1_NhanCong" xfId="3380"/>
    <cellStyle name="_KT_TG_1_N-X-T-04" xfId="3379"/>
    <cellStyle name="_KT_TG_1_PGIA-phieu tham tra Kho bac" xfId="3381"/>
    <cellStyle name="_KT_TG_1_phu luc tong ket tinh hinh TH giai doan 03-10 (ngay 30)" xfId="3386"/>
    <cellStyle name="_KT_TG_1_PT02-02" xfId="3382"/>
    <cellStyle name="_KT_TG_1_PT02-02_Book1" xfId="3383"/>
    <cellStyle name="_KT_TG_1_PT02-03" xfId="3384"/>
    <cellStyle name="_KT_TG_1_PT02-03_Book1" xfId="3385"/>
    <cellStyle name="_KT_TG_1_Qt-HT3PQ1(CauKho)" xfId="3387"/>
    <cellStyle name="_KT_TG_1_Sheet1" xfId="3388"/>
    <cellStyle name="_KT_TG_1_STANDARD FILE" xfId="6617"/>
    <cellStyle name="_KT_TG_1_STKL KE BAC LIEU" xfId="6618"/>
    <cellStyle name="_KT_TG_1_STKL KE BAC LIEU_STANDARD FILE" xfId="6619"/>
    <cellStyle name="_KT_TG_1_THDT" xfId="6624"/>
    <cellStyle name="_KT_TG_1_THDT_1" xfId="6625"/>
    <cellStyle name="_KT_TG_1_THDT_1_STANDARD FILE" xfId="6626"/>
    <cellStyle name="_KT_TG_1_THDT_STANDARD FILE" xfId="6627"/>
    <cellStyle name="_KT_TG_1_THONG KE THEP" xfId="6628"/>
    <cellStyle name="_KT_TG_1_THONG KE THEP_STANDARD FILE" xfId="6629"/>
    <cellStyle name="_KT_TG_1_TK152-04" xfId="3389"/>
    <cellStyle name="_KT_TG_1_TKHC-THOIQUAN-05-04-2004" xfId="6620"/>
    <cellStyle name="_KT_TG_1_TKHC-THOIQUAN-05-04-2004_STANDARD FILE" xfId="6621"/>
    <cellStyle name="_KT_TG_1_TMDTPA1" xfId="6622"/>
    <cellStyle name="_KT_TG_1_TMDTPA1_STANDARD FILE" xfId="6623"/>
    <cellStyle name="_KT_TG_1_ÿÿÿÿÿ" xfId="410"/>
    <cellStyle name="_KT_TG_1_ÿÿÿÿÿ_Bieu mau cong trinh khoi cong moi 3-4" xfId="3390"/>
    <cellStyle name="_KT_TG_1_ÿÿÿÿÿ_Bieu3ODA" xfId="3391"/>
    <cellStyle name="_KT_TG_1_ÿÿÿÿÿ_Bieu4HTMT" xfId="3392"/>
    <cellStyle name="_KT_TG_1_ÿÿÿÿÿ_KH TPCP vung TNB (03-1-2012)" xfId="3394"/>
    <cellStyle name="_KT_TG_1_ÿÿÿÿÿ_kien giang 2" xfId="3393"/>
    <cellStyle name="_KT_TG_2" xfId="411"/>
    <cellStyle name="_KT_TG_2 2" xfId="3395"/>
    <cellStyle name="_KT_TG_2_05-12  KH trung han 2016-2020 - Liem Thinh edited" xfId="3396"/>
    <cellStyle name="_KT_TG_2_ApGiaVatTu_cayxanh_latgach" xfId="3397"/>
    <cellStyle name="_KT_TG_2_BANG TONG HOP TINH HINH THANH QUYET TOAN (MOI I)" xfId="412"/>
    <cellStyle name="_KT_TG_2_BAO CAO KLCT PT2000" xfId="3398"/>
    <cellStyle name="_KT_TG_2_BAO CAO PT2000" xfId="3399"/>
    <cellStyle name="_KT_TG_2_BAO CAO PT2000_Book1" xfId="3400"/>
    <cellStyle name="_KT_TG_2_Bao cao XDCB 2001 - T11 KH dieu chinh 20-11-THAI" xfId="3401"/>
    <cellStyle name="_KT_TG_2_BAO GIA NGAY 24-10-08 (co dam)" xfId="413"/>
    <cellStyle name="_KT_TG_2_BC  NAM 2007" xfId="3402"/>
    <cellStyle name="_KT_TG_2_BC CV 6403 BKHĐT" xfId="3403"/>
    <cellStyle name="_KT_TG_2_BC NQ11-CP - chinh sua lai" xfId="3404"/>
    <cellStyle name="_KT_TG_2_BC NQ11-CP-Quynh sau bieu so3" xfId="3405"/>
    <cellStyle name="_KT_TG_2_BC_NQ11-CP_-_Thao_sua_lai" xfId="3406"/>
    <cellStyle name="_KT_TG_2_Bieu mau cong trinh khoi cong moi 3-4" xfId="3407"/>
    <cellStyle name="_KT_TG_2_Bieu3ODA" xfId="3408"/>
    <cellStyle name="_KT_TG_2_Bieu3ODA_1" xfId="3409"/>
    <cellStyle name="_KT_TG_2_Bieu4HTMT" xfId="3410"/>
    <cellStyle name="_KT_TG_2_bo sung von KCH nam 2010 va Du an tre kho khan" xfId="3411"/>
    <cellStyle name="_KT_TG_2_Book1" xfId="414"/>
    <cellStyle name="_KT_TG_2_Book1 2" xfId="3412"/>
    <cellStyle name="_KT_TG_2_Book1_1" xfId="415"/>
    <cellStyle name="_KT_TG_2_Book1_1 2" xfId="3413"/>
    <cellStyle name="_KT_TG_2_Book1_1_BC CV 6403 BKHĐT" xfId="3414"/>
    <cellStyle name="_KT_TG_2_Book1_1_Bieu mau cong trinh khoi cong moi 3-4" xfId="3415"/>
    <cellStyle name="_KT_TG_2_Book1_1_Bieu3ODA" xfId="3416"/>
    <cellStyle name="_KT_TG_2_Book1_1_Bieu4HTMT" xfId="3417"/>
    <cellStyle name="_KT_TG_2_Book1_1_Book1" xfId="3418"/>
    <cellStyle name="_KT_TG_2_Book1_1_Luy ke von ung nam 2011 -Thoa gui ngay 12-8-2012" xfId="3419"/>
    <cellStyle name="_KT_TG_2_Book1_1_STANDARD FILE" xfId="6630"/>
    <cellStyle name="_KT_TG_2_Book1_2" xfId="3420"/>
    <cellStyle name="_KT_TG_2_Book1_2 2" xfId="3421"/>
    <cellStyle name="_KT_TG_2_Book1_2_BC CV 6403 BKHĐT" xfId="3422"/>
    <cellStyle name="_KT_TG_2_Book1_2_Bieu3ODA" xfId="3423"/>
    <cellStyle name="_KT_TG_2_Book1_2_Luy ke von ung nam 2011 -Thoa gui ngay 12-8-2012" xfId="3424"/>
    <cellStyle name="_KT_TG_2_Book1_3" xfId="3425"/>
    <cellStyle name="_KT_TG_2_Book1_3 2" xfId="3426"/>
    <cellStyle name="_KT_TG_2_Book1_BC CV 6403 BKHĐT" xfId="3427"/>
    <cellStyle name="_KT_TG_2_Book1_Bieu mau cong trinh khoi cong moi 3-4" xfId="3428"/>
    <cellStyle name="_KT_TG_2_Book1_Bieu3ODA" xfId="3429"/>
    <cellStyle name="_KT_TG_2_Book1_Bieu4HTMT" xfId="3430"/>
    <cellStyle name="_KT_TG_2_Book1_bo sung von KCH nam 2010 va Du an tre kho khan" xfId="3431"/>
    <cellStyle name="_KT_TG_2_Book1_Book1" xfId="3432"/>
    <cellStyle name="_KT_TG_2_Book1_C CHIN TUYEN" xfId="6631"/>
    <cellStyle name="_KT_TG_2_Book1_C CHIN TUYEN_STANDARD FILE" xfId="6632"/>
    <cellStyle name="_KT_TG_2_Book1_Copy of CAU CHIN TUYEN" xfId="6633"/>
    <cellStyle name="_KT_TG_2_Book1_Copy of CAU CHIN TUYEN_STANDARD FILE" xfId="6634"/>
    <cellStyle name="_KT_TG_2_Book1_danh muc chuan bi dau tu 2011 ngay 07-6-2011" xfId="3433"/>
    <cellStyle name="_KT_TG_2_Book1_Danh muc pbo nguon von XSKT, XDCB nam 2009 chuyen qua nam 2010" xfId="3434"/>
    <cellStyle name="_KT_TG_2_Book1_dieu chinh KH 2011 ngay 26-5-2011111" xfId="3435"/>
    <cellStyle name="_KT_TG_2_Book1_DS KCH PHAN BO VON NSDP NAM 2010" xfId="3436"/>
    <cellStyle name="_KT_TG_2_Book1_DT CCAU SO 2" xfId="6635"/>
    <cellStyle name="_KT_TG_2_Book1_DT CCAU SO 2_STANDARD FILE" xfId="6636"/>
    <cellStyle name="_KT_TG_2_Book1_DU TOAN bo bao ba lang" xfId="6637"/>
    <cellStyle name="_KT_TG_2_Book1_DU TOAN bo bao ba lang_STANDARD FILE" xfId="6638"/>
    <cellStyle name="_KT_TG_2_Book1_Du toan Mau" xfId="6639"/>
    <cellStyle name="_KT_TG_2_Book1_Du toan Mau_STANDARD FILE" xfId="6640"/>
    <cellStyle name="_KT_TG_2_Book1_giao KH 2011 ngay 10-12-2010" xfId="3437"/>
    <cellStyle name="_KT_TG_2_Book1_GT21_ CONG TIEU Þ60" xfId="6641"/>
    <cellStyle name="_KT_TG_2_Book1_GT21_ CONG TIEU Þ60_STANDARD FILE" xfId="6642"/>
    <cellStyle name="_KT_TG_2_Book1_Luy ke von ung nam 2011 -Thoa gui ngay 12-8-2012" xfId="3438"/>
    <cellStyle name="_KT_TG_2_Book1_STANDARD FILE" xfId="6643"/>
    <cellStyle name="_KT_TG_2_Book1_THDT" xfId="6648"/>
    <cellStyle name="_KT_TG_2_Book1_THDT_STANDARD FILE" xfId="6649"/>
    <cellStyle name="_KT_TG_2_Book1_THDTGOI 21" xfId="6650"/>
    <cellStyle name="_KT_TG_2_Book1_THDTGOI 21_STANDARD FILE" xfId="6651"/>
    <cellStyle name="_KT_TG_2_Book1_THONG KE THEP" xfId="6652"/>
    <cellStyle name="_KT_TG_2_Book1_THONG KE THEP_STANDARD FILE" xfId="6653"/>
    <cellStyle name="_KT_TG_2_Book1_TKHC-THOIQUAN-05-04-2004" xfId="6644"/>
    <cellStyle name="_KT_TG_2_Book1_TKHC-THOIQUAN-05-04-2004_STANDARD FILE" xfId="6645"/>
    <cellStyle name="_KT_TG_2_Book1_TONG DU TOAN VINH LONG-PA1" xfId="6646"/>
    <cellStyle name="_KT_TG_2_Book1_TONG DU TOAN VINH LONG-PA1_STANDARD FILE" xfId="6647"/>
    <cellStyle name="_KT_TG_2_C CHIN TUYEN" xfId="6654"/>
    <cellStyle name="_KT_TG_2_C CHIN TUYEN_STANDARD FILE" xfId="6655"/>
    <cellStyle name="_KT_TG_2_CAU Khanh Nam(Thi Cong)" xfId="416"/>
    <cellStyle name="_KT_TG_2_ChiHuong_ApGia" xfId="3441"/>
    <cellStyle name="_KT_TG_2_CoCauPhi (version 1)" xfId="3439"/>
    <cellStyle name="_KT_TG_2_Copy of 05-12  KH trung han 2016-2020 - Liem Thinh edited (1)" xfId="3440"/>
    <cellStyle name="_KT_TG_2_Copy of CAU CHIN TUYEN" xfId="6656"/>
    <cellStyle name="_KT_TG_2_Copy of CAU CHIN TUYEN_STANDARD FILE" xfId="6657"/>
    <cellStyle name="_KT_TG_2_danh muc chuan bi dau tu 2011 ngay 07-6-2011" xfId="3442"/>
    <cellStyle name="_KT_TG_2_Danh muc pbo nguon von XSKT, XDCB nam 2009 chuyen qua nam 2010" xfId="3443"/>
    <cellStyle name="_KT_TG_2_DAU NOI PL-CL TAI PHU LAMHC" xfId="3444"/>
    <cellStyle name="_KT_TG_2_dieu chinh KH 2011 ngay 26-5-2011111" xfId="3445"/>
    <cellStyle name="_KT_TG_2_DS KCH PHAN BO VON NSDP NAM 2010" xfId="3446"/>
    <cellStyle name="_KT_TG_2_DT CCAU SO 2" xfId="6658"/>
    <cellStyle name="_KT_TG_2_DT CCAU SO 2_STANDARD FILE" xfId="6659"/>
    <cellStyle name="_KT_TG_2_DTCDT MR.2N110.HOCMON.TDTOAN.CCUNG" xfId="3447"/>
    <cellStyle name="_KT_TG_2_DU TOAN bo bao ba lang" xfId="6660"/>
    <cellStyle name="_KT_TG_2_DU TOAN bo bao ba lang_STANDARD FILE" xfId="6661"/>
    <cellStyle name="_KT_TG_2_Du toan Mau" xfId="6662"/>
    <cellStyle name="_KT_TG_2_Du toan Mau_STANDARD FILE" xfId="6663"/>
    <cellStyle name="_KT_TG_2_DU TRU VAT TU" xfId="417"/>
    <cellStyle name="_KT_TG_2_giao KH 2011 ngay 10-12-2010" xfId="3449"/>
    <cellStyle name="_KT_TG_2_GT21_ CONG TIEU Þ60" xfId="6664"/>
    <cellStyle name="_KT_TG_2_GT21_ CONG TIEU Þ60_STANDARD FILE" xfId="6665"/>
    <cellStyle name="_KT_TG_2_GTGT 2003" xfId="3448"/>
    <cellStyle name="_KT_TG_2_GVL4" xfId="6666"/>
    <cellStyle name="_KT_TG_2_GVL4_STANDARD FILE" xfId="6667"/>
    <cellStyle name="_KT_TG_2_GVLmoi" xfId="6668"/>
    <cellStyle name="_KT_TG_2_GVLmoi_STANDARD FILE" xfId="6669"/>
    <cellStyle name="_KT_TG_2_k2+700" xfId="6670"/>
    <cellStyle name="_KT_TG_2_k2+700_STANDARD FILE" xfId="6671"/>
    <cellStyle name="_KT_TG_2_KE KHAI THUE GTGT 2004" xfId="3450"/>
    <cellStyle name="_KT_TG_2_KE KHAI THUE GTGT 2004_BCTC2004" xfId="3451"/>
    <cellStyle name="_KT_TG_2_KE LUONG THUC" xfId="6672"/>
    <cellStyle name="_KT_TG_2_KE LUONG THUC_STANDARD FILE" xfId="6673"/>
    <cellStyle name="_KT_TG_2_KE LUONG THUC111" xfId="6674"/>
    <cellStyle name="_KT_TG_2_KE LUONG THUC111_STANDARD FILE" xfId="6675"/>
    <cellStyle name="_KT_TG_2_KH TPCP 2016-2020 (tong hop)" xfId="3453"/>
    <cellStyle name="_KT_TG_2_KH TPCP vung TNB (03-1-2012)" xfId="3454"/>
    <cellStyle name="_KT_TG_2_kien giang 2" xfId="3452"/>
    <cellStyle name="_KT_TG_2_Lora-tungchau" xfId="3455"/>
    <cellStyle name="_KT_TG_2_Luy ke von ung nam 2011 -Thoa gui ngay 12-8-2012" xfId="3456"/>
    <cellStyle name="_KT_TG_2_NhanCong" xfId="3458"/>
    <cellStyle name="_KT_TG_2_N-X-T-04" xfId="3457"/>
    <cellStyle name="_KT_TG_2_PGIA-phieu tham tra Kho bac" xfId="3459"/>
    <cellStyle name="_KT_TG_2_phu luc tong ket tinh hinh TH giai doan 03-10 (ngay 30)" xfId="3464"/>
    <cellStyle name="_KT_TG_2_PT02-02" xfId="3460"/>
    <cellStyle name="_KT_TG_2_PT02-02_Book1" xfId="3461"/>
    <cellStyle name="_KT_TG_2_PT02-03" xfId="3462"/>
    <cellStyle name="_KT_TG_2_PT02-03_Book1" xfId="3463"/>
    <cellStyle name="_KT_TG_2_Qt-HT3PQ1(CauKho)" xfId="3465"/>
    <cellStyle name="_KT_TG_2_Sheet1" xfId="3466"/>
    <cellStyle name="_KT_TG_2_STANDARD FILE" xfId="6676"/>
    <cellStyle name="_KT_TG_2_STKL KE BAC LIEU" xfId="6677"/>
    <cellStyle name="_KT_TG_2_STKL KE BAC LIEU_STANDARD FILE" xfId="6678"/>
    <cellStyle name="_KT_TG_2_THDT" xfId="6683"/>
    <cellStyle name="_KT_TG_2_THDT_1" xfId="6684"/>
    <cellStyle name="_KT_TG_2_THDT_1_STANDARD FILE" xfId="6685"/>
    <cellStyle name="_KT_TG_2_THDT_STANDARD FILE" xfId="6686"/>
    <cellStyle name="_KT_TG_2_THONG KE THEP" xfId="6687"/>
    <cellStyle name="_KT_TG_2_THONG KE THEP_STANDARD FILE" xfId="6688"/>
    <cellStyle name="_KT_TG_2_TK152-04" xfId="3467"/>
    <cellStyle name="_KT_TG_2_TKHC-THOIQUAN-05-04-2004" xfId="6679"/>
    <cellStyle name="_KT_TG_2_TKHC-THOIQUAN-05-04-2004_STANDARD FILE" xfId="6680"/>
    <cellStyle name="_KT_TG_2_TMDTPA1" xfId="6681"/>
    <cellStyle name="_KT_TG_2_TMDTPA1_STANDARD FILE" xfId="6682"/>
    <cellStyle name="_KT_TG_2_ÿÿÿÿÿ" xfId="418"/>
    <cellStyle name="_KT_TG_2_ÿÿÿÿÿ_Bieu mau cong trinh khoi cong moi 3-4" xfId="3468"/>
    <cellStyle name="_KT_TG_2_ÿÿÿÿÿ_Bieu3ODA" xfId="3469"/>
    <cellStyle name="_KT_TG_2_ÿÿÿÿÿ_Bieu4HTMT" xfId="3470"/>
    <cellStyle name="_KT_TG_2_ÿÿÿÿÿ_KH TPCP vung TNB (03-1-2012)" xfId="3472"/>
    <cellStyle name="_KT_TG_2_ÿÿÿÿÿ_kien giang 2" xfId="3471"/>
    <cellStyle name="_KT_TG_3" xfId="419"/>
    <cellStyle name="_KT_TG_3_STANDARD FILE" xfId="6689"/>
    <cellStyle name="_KT_TG_4" xfId="420"/>
    <cellStyle name="_KT_TG_4 2" xfId="3473"/>
    <cellStyle name="_KT_TG_4_05-12  KH trung han 2016-2020 - Liem Thinh edited" xfId="3474"/>
    <cellStyle name="_KT_TG_4_Copy of 05-12  KH trung han 2016-2020 - Liem Thinh edited (1)" xfId="3475"/>
    <cellStyle name="_KT_TG_4_KH TPCP 2016-2020 (tong hop)" xfId="3476"/>
    <cellStyle name="_KT_TG_4_Lora-tungchau" xfId="3477"/>
    <cellStyle name="_KT_TG_4_Lora-tungchau 2" xfId="3478"/>
    <cellStyle name="_KT_TG_4_Lora-tungchau_05-12  KH trung han 2016-2020 - Liem Thinh edited" xfId="3479"/>
    <cellStyle name="_KT_TG_4_Lora-tungchau_Copy of 05-12  KH trung han 2016-2020 - Liem Thinh edited (1)" xfId="3480"/>
    <cellStyle name="_KT_TG_4_Lora-tungchau_KH TPCP 2016-2020 (tong hop)" xfId="3481"/>
    <cellStyle name="_KT_TG_4_Qt-HT3PQ1(CauKho)" xfId="3482"/>
    <cellStyle name="_KT_TG_4_STANDARD FILE" xfId="6690"/>
    <cellStyle name="_KT_TG_C CHIN TUYEN" xfId="6691"/>
    <cellStyle name="_KT_TG_C CHIN TUYEN_STANDARD FILE" xfId="6692"/>
    <cellStyle name="_KT_TG_Copy of CAU CHIN TUYEN" xfId="6693"/>
    <cellStyle name="_KT_TG_Copy of CAU CHIN TUYEN_STANDARD FILE" xfId="6694"/>
    <cellStyle name="_KT_TG_DT CCAU SO 2" xfId="6695"/>
    <cellStyle name="_KT_TG_DT CCAU SO 2_STANDARD FILE" xfId="6696"/>
    <cellStyle name="_KT_TG_DU TOAN bo bao ba lang" xfId="6697"/>
    <cellStyle name="_KT_TG_DU TOAN bo bao ba lang_STANDARD FILE" xfId="6698"/>
    <cellStyle name="_KT_TG_Du toan Mau" xfId="6699"/>
    <cellStyle name="_KT_TG_Du toan Mau_STANDARD FILE" xfId="6700"/>
    <cellStyle name="_KT_TG_GT21_ CONG TIEU Þ60" xfId="6701"/>
    <cellStyle name="_KT_TG_GT21_ CONG TIEU Þ60_STANDARD FILE" xfId="6702"/>
    <cellStyle name="_KT_TG_GVL4" xfId="6703"/>
    <cellStyle name="_KT_TG_GVL4_STANDARD FILE" xfId="6704"/>
    <cellStyle name="_KT_TG_GVLmoi" xfId="6705"/>
    <cellStyle name="_KT_TG_GVLmoi_STANDARD FILE" xfId="6706"/>
    <cellStyle name="_KT_TG_k2+700" xfId="6707"/>
    <cellStyle name="_KT_TG_k2+700_STANDARD FILE" xfId="6708"/>
    <cellStyle name="_KT_TG_KE LUONG THUC" xfId="6709"/>
    <cellStyle name="_KT_TG_KE LUONG THUC_STANDARD FILE" xfId="6710"/>
    <cellStyle name="_KT_TG_KE LUONG THUC111" xfId="6711"/>
    <cellStyle name="_KT_TG_KE LUONG THUC111_STANDARD FILE" xfId="6712"/>
    <cellStyle name="_KT_TG_STANDARD FILE" xfId="6713"/>
    <cellStyle name="_KT_TG_STKL KE BAC LIEU" xfId="6714"/>
    <cellStyle name="_KT_TG_STKL KE BAC LIEU_STANDARD FILE" xfId="6715"/>
    <cellStyle name="_KT_TG_THDT" xfId="6718"/>
    <cellStyle name="_KT_TG_THDT_1" xfId="6719"/>
    <cellStyle name="_KT_TG_THDT_1_STANDARD FILE" xfId="6720"/>
    <cellStyle name="_KT_TG_THDT_STANDARD FILE" xfId="6721"/>
    <cellStyle name="_KT_TG_THONG KE THEP" xfId="6722"/>
    <cellStyle name="_KT_TG_THONG KE THEP_STANDARD FILE" xfId="6723"/>
    <cellStyle name="_KT_TG_TMDTPA1" xfId="6716"/>
    <cellStyle name="_KT_TG_TMDTPA1_STANDARD FILE" xfId="6717"/>
    <cellStyle name="_Lora-tungchau" xfId="3511"/>
    <cellStyle name="_Lora-tungchau 2" xfId="3512"/>
    <cellStyle name="_Lora-tungchau_05-12  KH trung han 2016-2020 - Liem Thinh edited" xfId="3513"/>
    <cellStyle name="_Lora-tungchau_Copy of 05-12  KH trung han 2016-2020 - Liem Thinh edited (1)" xfId="3514"/>
    <cellStyle name="_Lora-tungchau_KH TPCP 2016-2020 (tong hop)" xfId="3515"/>
    <cellStyle name="_Luy ke von ung nam 2011 -Thoa gui ngay 12-8-2012" xfId="3516"/>
    <cellStyle name="_mau so 3" xfId="423"/>
    <cellStyle name="_MauThanTKKT-goi7-DonGia2143(vl t7)" xfId="424"/>
    <cellStyle name="_MauThanTKKT-goi7-DonGia2143(vl t7) 2" xfId="425"/>
    <cellStyle name="_MauThanTKKT-goi7-DonGia2143(vl t7)_!1 1 bao cao giao KH ve HTCMT vung TNB   12-12-2011" xfId="3517"/>
    <cellStyle name="_MauThanTKKT-goi7-DonGia2143(vl t7)_Bieu4HTMT" xfId="3518"/>
    <cellStyle name="_MauThanTKKT-goi7-DonGia2143(vl t7)_Bieu4HTMT_!1 1 bao cao giao KH ve HTCMT vung TNB   12-12-2011" xfId="3519"/>
    <cellStyle name="_MauThanTKKT-goi7-DonGia2143(vl t7)_Bieu4HTMT_KH TPCP vung TNB (03-1-2012)" xfId="3520"/>
    <cellStyle name="_MauThanTKKT-goi7-DonGia2143(vl t7)_KH TPCP vung TNB (03-1-2012)" xfId="3521"/>
    <cellStyle name="_Nhu cau von ung truoc 2011 Tha h Hoa + Nge An gui TW" xfId="3523"/>
    <cellStyle name="_Nhu cau von ung truoc 2011 Tha h Hoa + Nge An gui TW_!1 1 bao cao giao KH ve HTCMT vung TNB   12-12-2011" xfId="3524"/>
    <cellStyle name="_Nhu cau von ung truoc 2011 Tha h Hoa + Nge An gui TW_Bieu4HTMT" xfId="3525"/>
    <cellStyle name="_Nhu cau von ung truoc 2011 Tha h Hoa + Nge An gui TW_Bieu4HTMT_!1 1 bao cao giao KH ve HTCMT vung TNB   12-12-2011" xfId="3526"/>
    <cellStyle name="_Nhu cau von ung truoc 2011 Tha h Hoa + Nge An gui TW_Bieu4HTMT_KH TPCP vung TNB (03-1-2012)" xfId="3527"/>
    <cellStyle name="_Nhu cau von ung truoc 2011 Tha h Hoa + Nge An gui TW_KH TPCP vung TNB (03-1-2012)" xfId="3528"/>
    <cellStyle name="_N-X-T-04" xfId="3522"/>
    <cellStyle name="_PERSONAL" xfId="426"/>
    <cellStyle name="_PERSONAL_BC CV 6403 BKHĐT" xfId="3529"/>
    <cellStyle name="_PERSONAL_Bieu mau cong trinh khoi cong moi 3-4" xfId="3530"/>
    <cellStyle name="_PERSONAL_Bieu3ODA" xfId="3531"/>
    <cellStyle name="_PERSONAL_Bieu4HTMT" xfId="3532"/>
    <cellStyle name="_PERSONAL_Book1" xfId="427"/>
    <cellStyle name="_PERSONAL_Book1 2" xfId="3533"/>
    <cellStyle name="_PERSONAL_Book1_STANDARD FILE" xfId="6724"/>
    <cellStyle name="_PERSONAL_HTQ.8 GD1" xfId="3534"/>
    <cellStyle name="_PERSONAL_HTQ.8 GD1_05-12  KH trung han 2016-2020 - Liem Thinh edited" xfId="3535"/>
    <cellStyle name="_PERSONAL_HTQ.8 GD1_Copy of 05-12  KH trung han 2016-2020 - Liem Thinh edited (1)" xfId="3536"/>
    <cellStyle name="_PERSONAL_HTQ.8 GD1_KH TPCP 2016-2020 (tong hop)" xfId="3537"/>
    <cellStyle name="_PERSONAL_Luy ke von ung nam 2011 -Thoa gui ngay 12-8-2012" xfId="3538"/>
    <cellStyle name="_PERSONAL_STANDARD FILE" xfId="6725"/>
    <cellStyle name="_PERSONAL_Tong hop KHCB 2001" xfId="428"/>
    <cellStyle name="_PERSONAL_Tong hop KHCB 2001_STANDARD FILE" xfId="6726"/>
    <cellStyle name="_Phan bo KH 2009 TPCP" xfId="3539"/>
    <cellStyle name="_Phan XD" xfId="6727"/>
    <cellStyle name="_Phan XD_da sua - 4 DU TOAN CAU BAN KENH MUONG LO" xfId="6728"/>
    <cellStyle name="_Phan XD_duong giong nhan ganh hao - cong ngang duong" xfId="6729"/>
    <cellStyle name="_Phan XD_Duong Giong Nhan Ganh Hao - Duong giao thong" xfId="6730"/>
    <cellStyle name="_Phan XD_KL-DH" xfId="6731"/>
    <cellStyle name="_Phan XD_KL-DH_da sua - 4 DU TOAN CAU BAN KENH MUONG LO" xfId="6732"/>
    <cellStyle name="_Phan XD_KL-DH_DT CONG-thamdinh" xfId="6733"/>
    <cellStyle name="_Phan XD_KL-DHDM" xfId="6734"/>
    <cellStyle name="_Phan XD_KL-DHDM_da sua - 4 DU TOAN CAU BAN KENH MUONG LO" xfId="6735"/>
    <cellStyle name="_Phan XD_KL-DHDM_DT CONG-thamdinh" xfId="6736"/>
    <cellStyle name="_Phan XD_KL-DHK" xfId="6737"/>
    <cellStyle name="_Phan XD_KL-DHK_da sua - 4 DU TOAN CAU BAN KENH MUONG LO" xfId="6738"/>
    <cellStyle name="_Phan XD_KL-DHK_DT CONG-thamdinh" xfId="6739"/>
    <cellStyle name="_phong bo mon22" xfId="3540"/>
    <cellStyle name="_phong bo mon22_!1 1 bao cao giao KH ve HTCMT vung TNB   12-12-2011" xfId="3541"/>
    <cellStyle name="_phong bo mon22_KH TPCP vung TNB (03-1-2012)" xfId="3542"/>
    <cellStyle name="_Phu luc 2 (Bieu 2) TH KH 2010" xfId="3543"/>
    <cellStyle name="_phu luc tong ket tinh hinh TH giai doan 03-10 (ngay 30)" xfId="3544"/>
    <cellStyle name="_Phuluckinhphi_DC_lan 4_YL" xfId="3545"/>
    <cellStyle name="_Q TOAN  SCTX QL.62 QUI I ( oanh)" xfId="429"/>
    <cellStyle name="_Q TOAN  SCTX QL.62 QUI II ( oanh)" xfId="430"/>
    <cellStyle name="_QT SCTXQL62_QT1 (Cty QL)" xfId="431"/>
    <cellStyle name="_Qt-HT3PQ1(CauKho)" xfId="3546"/>
    <cellStyle name="_Sheet1" xfId="432"/>
    <cellStyle name="_Sheet2" xfId="433"/>
    <cellStyle name="_x0001__STANDARD FILE" xfId="6740"/>
    <cellStyle name="_STKL KE BAC LIEU" xfId="6741"/>
    <cellStyle name="_sua dtoankenh Dong" xfId="6742"/>
    <cellStyle name="_sua dtoankenh Dong_da sua - 4 DU TOAN CAU BAN KENH MUONG LO" xfId="6743"/>
    <cellStyle name="_sua dtoankenh Dong_duong giong nhan ganh hao - cong ngang duong" xfId="6744"/>
    <cellStyle name="_sua dtoankenh Dong_Duong Giong Nhan Ganh Hao - Duong giao thong" xfId="6745"/>
    <cellStyle name="_TG-TH" xfId="434"/>
    <cellStyle name="_TG-TH_1" xfId="435"/>
    <cellStyle name="_TG-TH_1 2" xfId="3547"/>
    <cellStyle name="_TG-TH_1_05-12  KH trung han 2016-2020 - Liem Thinh edited" xfId="3548"/>
    <cellStyle name="_TG-TH_1_ApGiaVatTu_cayxanh_latgach" xfId="3549"/>
    <cellStyle name="_TG-TH_1_BANG TONG HOP TINH HINH THANH QUYET TOAN (MOI I)" xfId="436"/>
    <cellStyle name="_TG-TH_1_BAO CAO KLCT PT2000" xfId="3550"/>
    <cellStyle name="_TG-TH_1_BAO CAO PT2000" xfId="3551"/>
    <cellStyle name="_TG-TH_1_BAO CAO PT2000_Book1" xfId="3552"/>
    <cellStyle name="_TG-TH_1_Bao cao XDCB 2001 - T11 KH dieu chinh 20-11-THAI" xfId="3553"/>
    <cellStyle name="_TG-TH_1_BAO GIA NGAY 24-10-08 (co dam)" xfId="437"/>
    <cellStyle name="_TG-TH_1_BC  NAM 2007" xfId="3554"/>
    <cellStyle name="_TG-TH_1_BC CV 6403 BKHĐT" xfId="3555"/>
    <cellStyle name="_TG-TH_1_BC NQ11-CP - chinh sua lai" xfId="3556"/>
    <cellStyle name="_TG-TH_1_BC NQ11-CP-Quynh sau bieu so3" xfId="3557"/>
    <cellStyle name="_TG-TH_1_BC_NQ11-CP_-_Thao_sua_lai" xfId="3558"/>
    <cellStyle name="_TG-TH_1_Bieu mau cong trinh khoi cong moi 3-4" xfId="3559"/>
    <cellStyle name="_TG-TH_1_Bieu3ODA" xfId="3560"/>
    <cellStyle name="_TG-TH_1_Bieu3ODA_1" xfId="3561"/>
    <cellStyle name="_TG-TH_1_Bieu4HTMT" xfId="3562"/>
    <cellStyle name="_TG-TH_1_bo sung von KCH nam 2010 va Du an tre kho khan" xfId="3563"/>
    <cellStyle name="_TG-TH_1_Book1" xfId="438"/>
    <cellStyle name="_TG-TH_1_Book1 2" xfId="3564"/>
    <cellStyle name="_TG-TH_1_Book1_1" xfId="439"/>
    <cellStyle name="_TG-TH_1_Book1_1 2" xfId="3565"/>
    <cellStyle name="_TG-TH_1_Book1_1_BC CV 6403 BKHĐT" xfId="3566"/>
    <cellStyle name="_TG-TH_1_Book1_1_Bieu mau cong trinh khoi cong moi 3-4" xfId="3567"/>
    <cellStyle name="_TG-TH_1_Book1_1_Bieu3ODA" xfId="3568"/>
    <cellStyle name="_TG-TH_1_Book1_1_Bieu4HTMT" xfId="3569"/>
    <cellStyle name="_TG-TH_1_Book1_1_Book1" xfId="3570"/>
    <cellStyle name="_TG-TH_1_Book1_1_Luy ke von ung nam 2011 -Thoa gui ngay 12-8-2012" xfId="3571"/>
    <cellStyle name="_TG-TH_1_Book1_1_STANDARD FILE" xfId="6746"/>
    <cellStyle name="_TG-TH_1_Book1_2" xfId="3572"/>
    <cellStyle name="_TG-TH_1_Book1_2 2" xfId="3573"/>
    <cellStyle name="_TG-TH_1_Book1_2_BC CV 6403 BKHĐT" xfId="3574"/>
    <cellStyle name="_TG-TH_1_Book1_2_Bieu3ODA" xfId="3575"/>
    <cellStyle name="_TG-TH_1_Book1_2_Luy ke von ung nam 2011 -Thoa gui ngay 12-8-2012" xfId="3576"/>
    <cellStyle name="_TG-TH_1_Book1_3" xfId="3577"/>
    <cellStyle name="_TG-TH_1_Book1_BC CV 6403 BKHĐT" xfId="3578"/>
    <cellStyle name="_TG-TH_1_Book1_BC-QT-WB-dthao" xfId="3579"/>
    <cellStyle name="_TG-TH_1_Book1_Bieu mau cong trinh khoi cong moi 3-4" xfId="3580"/>
    <cellStyle name="_TG-TH_1_Book1_Bieu3ODA" xfId="3581"/>
    <cellStyle name="_TG-TH_1_Book1_Bieu4HTMT" xfId="3582"/>
    <cellStyle name="_TG-TH_1_Book1_bo sung von KCH nam 2010 va Du an tre kho khan" xfId="3583"/>
    <cellStyle name="_TG-TH_1_Book1_Book1" xfId="3584"/>
    <cellStyle name="_TG-TH_1_Book1_C CHIN TUYEN" xfId="6747"/>
    <cellStyle name="_TG-TH_1_Book1_C CHIN TUYEN_STANDARD FILE" xfId="6748"/>
    <cellStyle name="_TG-TH_1_Book1_Copy of CAU CHIN TUYEN" xfId="6749"/>
    <cellStyle name="_TG-TH_1_Book1_Copy of CAU CHIN TUYEN_STANDARD FILE" xfId="6750"/>
    <cellStyle name="_TG-TH_1_Book1_danh muc chuan bi dau tu 2011 ngay 07-6-2011" xfId="3585"/>
    <cellStyle name="_TG-TH_1_Book1_Danh muc pbo nguon von XSKT, XDCB nam 2009 chuyen qua nam 2010" xfId="3586"/>
    <cellStyle name="_TG-TH_1_Book1_dieu chinh KH 2011 ngay 26-5-2011111" xfId="3587"/>
    <cellStyle name="_TG-TH_1_Book1_DS KCH PHAN BO VON NSDP NAM 2010" xfId="3588"/>
    <cellStyle name="_TG-TH_1_Book1_DT CCAU SO 2" xfId="6751"/>
    <cellStyle name="_TG-TH_1_Book1_DT CCAU SO 2_STANDARD FILE" xfId="6752"/>
    <cellStyle name="_TG-TH_1_Book1_DU TOAN bo bao ba lang" xfId="6753"/>
    <cellStyle name="_TG-TH_1_Book1_DU TOAN bo bao ba lang_STANDARD FILE" xfId="6754"/>
    <cellStyle name="_TG-TH_1_Book1_Du toan Mau" xfId="6755"/>
    <cellStyle name="_TG-TH_1_Book1_Du toan Mau_STANDARD FILE" xfId="6756"/>
    <cellStyle name="_TG-TH_1_Book1_giao KH 2011 ngay 10-12-2010" xfId="3589"/>
    <cellStyle name="_TG-TH_1_Book1_GT21_ CONG TIEU Þ60" xfId="6757"/>
    <cellStyle name="_TG-TH_1_Book1_GT21_ CONG TIEU Þ60_STANDARD FILE" xfId="6758"/>
    <cellStyle name="_TG-TH_1_Book1_Luy ke von ung nam 2011 -Thoa gui ngay 12-8-2012" xfId="3590"/>
    <cellStyle name="_TG-TH_1_Book1_STANDARD FILE" xfId="6759"/>
    <cellStyle name="_TG-TH_1_Book1_THDT" xfId="6764"/>
    <cellStyle name="_TG-TH_1_Book1_THDT_STANDARD FILE" xfId="6765"/>
    <cellStyle name="_TG-TH_1_Book1_THDTGOI 21" xfId="6766"/>
    <cellStyle name="_TG-TH_1_Book1_THDTGOI 21_STANDARD FILE" xfId="6767"/>
    <cellStyle name="_TG-TH_1_Book1_THONG KE THEP" xfId="6768"/>
    <cellStyle name="_TG-TH_1_Book1_THONG KE THEP_STANDARD FILE" xfId="6769"/>
    <cellStyle name="_TG-TH_1_Book1_TKHC-THOIQUAN-05-04-2004" xfId="6760"/>
    <cellStyle name="_TG-TH_1_Book1_TKHC-THOIQUAN-05-04-2004_STANDARD FILE" xfId="6761"/>
    <cellStyle name="_TG-TH_1_Book1_TONG DU TOAN VINH LONG-PA1" xfId="6762"/>
    <cellStyle name="_TG-TH_1_Book1_TONG DU TOAN VINH LONG-PA1_STANDARD FILE" xfId="6763"/>
    <cellStyle name="_TG-TH_1_C CHIN TUYEN" xfId="6770"/>
    <cellStyle name="_TG-TH_1_C CHIN TUYEN_STANDARD FILE" xfId="6771"/>
    <cellStyle name="_TG-TH_1_CAU Khanh Nam(Thi Cong)" xfId="440"/>
    <cellStyle name="_TG-TH_1_ChiHuong_ApGia" xfId="3593"/>
    <cellStyle name="_TG-TH_1_CoCauPhi (version 1)" xfId="3591"/>
    <cellStyle name="_TG-TH_1_Copy of 05-12  KH trung han 2016-2020 - Liem Thinh edited (1)" xfId="3592"/>
    <cellStyle name="_TG-TH_1_Copy of CAU CHIN TUYEN" xfId="6772"/>
    <cellStyle name="_TG-TH_1_Copy of CAU CHIN TUYEN_STANDARD FILE" xfId="6773"/>
    <cellStyle name="_TG-TH_1_danh muc chuan bi dau tu 2011 ngay 07-6-2011" xfId="3594"/>
    <cellStyle name="_TG-TH_1_Danh muc pbo nguon von XSKT, XDCB nam 2009 chuyen qua nam 2010" xfId="3595"/>
    <cellStyle name="_TG-TH_1_DAU NOI PL-CL TAI PHU LAMHC" xfId="3596"/>
    <cellStyle name="_TG-TH_1_dieu chinh KH 2011 ngay 26-5-2011111" xfId="3597"/>
    <cellStyle name="_TG-TH_1_DS KCH PHAN BO VON NSDP NAM 2010" xfId="3598"/>
    <cellStyle name="_TG-TH_1_DT CCAU SO 2" xfId="6774"/>
    <cellStyle name="_TG-TH_1_DT CCAU SO 2_STANDARD FILE" xfId="6775"/>
    <cellStyle name="_TG-TH_1_DTCDT MR.2N110.HOCMON.TDTOAN.CCUNG" xfId="3599"/>
    <cellStyle name="_TG-TH_1_DU TOAN bo bao ba lang" xfId="6776"/>
    <cellStyle name="_TG-TH_1_DU TOAN bo bao ba lang_STANDARD FILE" xfId="6777"/>
    <cellStyle name="_TG-TH_1_Du toan Mau" xfId="6778"/>
    <cellStyle name="_TG-TH_1_Du toan Mau_STANDARD FILE" xfId="6779"/>
    <cellStyle name="_TG-TH_1_DU TRU VAT TU" xfId="441"/>
    <cellStyle name="_TG-TH_1_giao KH 2011 ngay 10-12-2010" xfId="3601"/>
    <cellStyle name="_TG-TH_1_GT21_ CONG TIEU Þ60" xfId="6780"/>
    <cellStyle name="_TG-TH_1_GT21_ CONG TIEU Þ60_STANDARD FILE" xfId="6781"/>
    <cellStyle name="_TG-TH_1_GTGT 2003" xfId="3600"/>
    <cellStyle name="_TG-TH_1_GVL4" xfId="6782"/>
    <cellStyle name="_TG-TH_1_GVL4_STANDARD FILE" xfId="6783"/>
    <cellStyle name="_TG-TH_1_GVLmoi" xfId="6784"/>
    <cellStyle name="_TG-TH_1_GVLmoi_STANDARD FILE" xfId="6785"/>
    <cellStyle name="_TG-TH_1_k2+700" xfId="6786"/>
    <cellStyle name="_TG-TH_1_k2+700_STANDARD FILE" xfId="6787"/>
    <cellStyle name="_TG-TH_1_KE KHAI THUE GTGT 2004" xfId="3602"/>
    <cellStyle name="_TG-TH_1_KE KHAI THUE GTGT 2004_BCTC2004" xfId="3603"/>
    <cellStyle name="_TG-TH_1_KE LUONG THUC" xfId="6788"/>
    <cellStyle name="_TG-TH_1_KE LUONG THUC_STANDARD FILE" xfId="6789"/>
    <cellStyle name="_TG-TH_1_KE LUONG THUC111" xfId="6790"/>
    <cellStyle name="_TG-TH_1_KE LUONG THUC111_STANDARD FILE" xfId="6791"/>
    <cellStyle name="_TG-TH_1_KH TPCP 2016-2020 (tong hop)" xfId="3605"/>
    <cellStyle name="_TG-TH_1_KH TPCP vung TNB (03-1-2012)" xfId="3606"/>
    <cellStyle name="_TG-TH_1_kien giang 2" xfId="3604"/>
    <cellStyle name="_TG-TH_1_Lora-tungchau" xfId="3607"/>
    <cellStyle name="_TG-TH_1_Luy ke von ung nam 2011 -Thoa gui ngay 12-8-2012" xfId="3608"/>
    <cellStyle name="_TG-TH_1_NhanCong" xfId="3610"/>
    <cellStyle name="_TG-TH_1_N-X-T-04" xfId="3609"/>
    <cellStyle name="_TG-TH_1_PGIA-phieu tham tra Kho bac" xfId="3611"/>
    <cellStyle name="_TG-TH_1_phu luc tong ket tinh hinh TH giai doan 03-10 (ngay 30)" xfId="3616"/>
    <cellStyle name="_TG-TH_1_PT02-02" xfId="3612"/>
    <cellStyle name="_TG-TH_1_PT02-02_Book1" xfId="3613"/>
    <cellStyle name="_TG-TH_1_PT02-03" xfId="3614"/>
    <cellStyle name="_TG-TH_1_PT02-03_Book1" xfId="3615"/>
    <cellStyle name="_TG-TH_1_Qt-HT3PQ1(CauKho)" xfId="3617"/>
    <cellStyle name="_TG-TH_1_Sheet1" xfId="3618"/>
    <cellStyle name="_TG-TH_1_STANDARD FILE" xfId="6792"/>
    <cellStyle name="_TG-TH_1_STKL KE BAC LIEU" xfId="6793"/>
    <cellStyle name="_TG-TH_1_STKL KE BAC LIEU_STANDARD FILE" xfId="6794"/>
    <cellStyle name="_TG-TH_1_THDT" xfId="6799"/>
    <cellStyle name="_TG-TH_1_THDT_1" xfId="6800"/>
    <cellStyle name="_TG-TH_1_THDT_1_STANDARD FILE" xfId="6801"/>
    <cellStyle name="_TG-TH_1_THDT_STANDARD FILE" xfId="6802"/>
    <cellStyle name="_TG-TH_1_THONG KE THEP" xfId="6803"/>
    <cellStyle name="_TG-TH_1_THONG KE THEP_STANDARD FILE" xfId="6804"/>
    <cellStyle name="_TG-TH_1_TK152-04" xfId="3619"/>
    <cellStyle name="_TG-TH_1_TKHC-THOIQUAN-05-04-2004" xfId="6795"/>
    <cellStyle name="_TG-TH_1_TKHC-THOIQUAN-05-04-2004_STANDARD FILE" xfId="6796"/>
    <cellStyle name="_TG-TH_1_TMDTPA1" xfId="6797"/>
    <cellStyle name="_TG-TH_1_TMDTPA1_STANDARD FILE" xfId="6798"/>
    <cellStyle name="_TG-TH_1_ÿÿÿÿÿ" xfId="442"/>
    <cellStyle name="_TG-TH_1_ÿÿÿÿÿ_Bieu mau cong trinh khoi cong moi 3-4" xfId="3620"/>
    <cellStyle name="_TG-TH_1_ÿÿÿÿÿ_Bieu3ODA" xfId="3621"/>
    <cellStyle name="_TG-TH_1_ÿÿÿÿÿ_Bieu4HTMT" xfId="3622"/>
    <cellStyle name="_TG-TH_1_ÿÿÿÿÿ_KH TPCP vung TNB (03-1-2012)" xfId="3624"/>
    <cellStyle name="_TG-TH_1_ÿÿÿÿÿ_kien giang 2" xfId="3623"/>
    <cellStyle name="_TG-TH_2" xfId="443"/>
    <cellStyle name="_TG-TH_2 2" xfId="3625"/>
    <cellStyle name="_TG-TH_2_05-12  KH trung han 2016-2020 - Liem Thinh edited" xfId="3626"/>
    <cellStyle name="_TG-TH_2_ApGiaVatTu_cayxanh_latgach" xfId="3627"/>
    <cellStyle name="_TG-TH_2_BANG TONG HOP TINH HINH THANH QUYET TOAN (MOI I)" xfId="444"/>
    <cellStyle name="_TG-TH_2_BAO CAO KLCT PT2000" xfId="3628"/>
    <cellStyle name="_TG-TH_2_BAO CAO PT2000" xfId="3629"/>
    <cellStyle name="_TG-TH_2_BAO CAO PT2000_Book1" xfId="3630"/>
    <cellStyle name="_TG-TH_2_Bao cao XDCB 2001 - T11 KH dieu chinh 20-11-THAI" xfId="3631"/>
    <cellStyle name="_TG-TH_2_BAO GIA NGAY 24-10-08 (co dam)" xfId="445"/>
    <cellStyle name="_TG-TH_2_BC  NAM 2007" xfId="3632"/>
    <cellStyle name="_TG-TH_2_BC CV 6403 BKHĐT" xfId="3633"/>
    <cellStyle name="_TG-TH_2_BC NQ11-CP - chinh sua lai" xfId="3634"/>
    <cellStyle name="_TG-TH_2_BC NQ11-CP-Quynh sau bieu so3" xfId="3635"/>
    <cellStyle name="_TG-TH_2_BC_NQ11-CP_-_Thao_sua_lai" xfId="3636"/>
    <cellStyle name="_TG-TH_2_Bieu mau cong trinh khoi cong moi 3-4" xfId="3637"/>
    <cellStyle name="_TG-TH_2_Bieu3ODA" xfId="3638"/>
    <cellStyle name="_TG-TH_2_Bieu3ODA_1" xfId="3639"/>
    <cellStyle name="_TG-TH_2_Bieu4HTMT" xfId="3640"/>
    <cellStyle name="_TG-TH_2_bo sung von KCH nam 2010 va Du an tre kho khan" xfId="3641"/>
    <cellStyle name="_TG-TH_2_Book1" xfId="446"/>
    <cellStyle name="_TG-TH_2_Book1 2" xfId="3642"/>
    <cellStyle name="_TG-TH_2_Book1_1" xfId="447"/>
    <cellStyle name="_TG-TH_2_Book1_1 2" xfId="3643"/>
    <cellStyle name="_TG-TH_2_Book1_1_BC CV 6403 BKHĐT" xfId="3644"/>
    <cellStyle name="_TG-TH_2_Book1_1_Bieu mau cong trinh khoi cong moi 3-4" xfId="3645"/>
    <cellStyle name="_TG-TH_2_Book1_1_Bieu3ODA" xfId="3646"/>
    <cellStyle name="_TG-TH_2_Book1_1_Bieu4HTMT" xfId="3647"/>
    <cellStyle name="_TG-TH_2_Book1_1_Book1" xfId="3648"/>
    <cellStyle name="_TG-TH_2_Book1_1_Luy ke von ung nam 2011 -Thoa gui ngay 12-8-2012" xfId="3649"/>
    <cellStyle name="_TG-TH_2_Book1_1_STANDARD FILE" xfId="6805"/>
    <cellStyle name="_TG-TH_2_Book1_2" xfId="3650"/>
    <cellStyle name="_TG-TH_2_Book1_2 2" xfId="3651"/>
    <cellStyle name="_TG-TH_2_Book1_2_BC CV 6403 BKHĐT" xfId="3652"/>
    <cellStyle name="_TG-TH_2_Book1_2_Bieu3ODA" xfId="3653"/>
    <cellStyle name="_TG-TH_2_Book1_2_Luy ke von ung nam 2011 -Thoa gui ngay 12-8-2012" xfId="3654"/>
    <cellStyle name="_TG-TH_2_Book1_3" xfId="3655"/>
    <cellStyle name="_TG-TH_2_Book1_3 2" xfId="3656"/>
    <cellStyle name="_TG-TH_2_Book1_BC CV 6403 BKHĐT" xfId="3657"/>
    <cellStyle name="_TG-TH_2_Book1_Bieu mau cong trinh khoi cong moi 3-4" xfId="3658"/>
    <cellStyle name="_TG-TH_2_Book1_Bieu3ODA" xfId="3659"/>
    <cellStyle name="_TG-TH_2_Book1_Bieu4HTMT" xfId="3660"/>
    <cellStyle name="_TG-TH_2_Book1_bo sung von KCH nam 2010 va Du an tre kho khan" xfId="3661"/>
    <cellStyle name="_TG-TH_2_Book1_Book1" xfId="3662"/>
    <cellStyle name="_TG-TH_2_Book1_C CHIN TUYEN" xfId="6806"/>
    <cellStyle name="_TG-TH_2_Book1_C CHIN TUYEN_STANDARD FILE" xfId="6807"/>
    <cellStyle name="_TG-TH_2_Book1_Copy of CAU CHIN TUYEN" xfId="6808"/>
    <cellStyle name="_TG-TH_2_Book1_Copy of CAU CHIN TUYEN_STANDARD FILE" xfId="6809"/>
    <cellStyle name="_TG-TH_2_Book1_danh muc chuan bi dau tu 2011 ngay 07-6-2011" xfId="3663"/>
    <cellStyle name="_TG-TH_2_Book1_Danh muc pbo nguon von XSKT, XDCB nam 2009 chuyen qua nam 2010" xfId="3664"/>
    <cellStyle name="_TG-TH_2_Book1_dieu chinh KH 2011 ngay 26-5-2011111" xfId="3665"/>
    <cellStyle name="_TG-TH_2_Book1_DS KCH PHAN BO VON NSDP NAM 2010" xfId="3666"/>
    <cellStyle name="_TG-TH_2_Book1_DT CCAU SO 2" xfId="6810"/>
    <cellStyle name="_TG-TH_2_Book1_DT CCAU SO 2_STANDARD FILE" xfId="6811"/>
    <cellStyle name="_TG-TH_2_Book1_DU TOAN bo bao ba lang" xfId="6812"/>
    <cellStyle name="_TG-TH_2_Book1_DU TOAN bo bao ba lang_STANDARD FILE" xfId="6813"/>
    <cellStyle name="_TG-TH_2_Book1_Du toan Mau" xfId="6814"/>
    <cellStyle name="_TG-TH_2_Book1_Du toan Mau_STANDARD FILE" xfId="6815"/>
    <cellStyle name="_TG-TH_2_Book1_giao KH 2011 ngay 10-12-2010" xfId="3667"/>
    <cellStyle name="_TG-TH_2_Book1_GT21_ CONG TIEU Þ60" xfId="6816"/>
    <cellStyle name="_TG-TH_2_Book1_GT21_ CONG TIEU Þ60_STANDARD FILE" xfId="6817"/>
    <cellStyle name="_TG-TH_2_Book1_Luy ke von ung nam 2011 -Thoa gui ngay 12-8-2012" xfId="3668"/>
    <cellStyle name="_TG-TH_2_Book1_STANDARD FILE" xfId="6818"/>
    <cellStyle name="_TG-TH_2_Book1_THDT" xfId="6823"/>
    <cellStyle name="_TG-TH_2_Book1_THDT_STANDARD FILE" xfId="6824"/>
    <cellStyle name="_TG-TH_2_Book1_THDTGOI 21" xfId="6825"/>
    <cellStyle name="_TG-TH_2_Book1_THDTGOI 21_STANDARD FILE" xfId="6826"/>
    <cellStyle name="_TG-TH_2_Book1_THONG KE THEP" xfId="6827"/>
    <cellStyle name="_TG-TH_2_Book1_THONG KE THEP_STANDARD FILE" xfId="6828"/>
    <cellStyle name="_TG-TH_2_Book1_TKHC-THOIQUAN-05-04-2004" xfId="6819"/>
    <cellStyle name="_TG-TH_2_Book1_TKHC-THOIQUAN-05-04-2004_STANDARD FILE" xfId="6820"/>
    <cellStyle name="_TG-TH_2_Book1_TONG DU TOAN VINH LONG-PA1" xfId="6821"/>
    <cellStyle name="_TG-TH_2_Book1_TONG DU TOAN VINH LONG-PA1_STANDARD FILE" xfId="6822"/>
    <cellStyle name="_TG-TH_2_C CHIN TUYEN" xfId="6829"/>
    <cellStyle name="_TG-TH_2_C CHIN TUYEN_STANDARD FILE" xfId="6830"/>
    <cellStyle name="_TG-TH_2_CAU Khanh Nam(Thi Cong)" xfId="448"/>
    <cellStyle name="_TG-TH_2_ChiHuong_ApGia" xfId="3671"/>
    <cellStyle name="_TG-TH_2_CoCauPhi (version 1)" xfId="3669"/>
    <cellStyle name="_TG-TH_2_Copy of 05-12  KH trung han 2016-2020 - Liem Thinh edited (1)" xfId="3670"/>
    <cellStyle name="_TG-TH_2_Copy of CAU CHIN TUYEN" xfId="6831"/>
    <cellStyle name="_TG-TH_2_Copy of CAU CHIN TUYEN_STANDARD FILE" xfId="6832"/>
    <cellStyle name="_TG-TH_2_danh muc chuan bi dau tu 2011 ngay 07-6-2011" xfId="3672"/>
    <cellStyle name="_TG-TH_2_Danh muc pbo nguon von XSKT, XDCB nam 2009 chuyen qua nam 2010" xfId="3673"/>
    <cellStyle name="_TG-TH_2_DAU NOI PL-CL TAI PHU LAMHC" xfId="3674"/>
    <cellStyle name="_TG-TH_2_dieu chinh KH 2011 ngay 26-5-2011111" xfId="3675"/>
    <cellStyle name="_TG-TH_2_DS KCH PHAN BO VON NSDP NAM 2010" xfId="3676"/>
    <cellStyle name="_TG-TH_2_DT CCAU SO 2" xfId="6833"/>
    <cellStyle name="_TG-TH_2_DT CCAU SO 2_STANDARD FILE" xfId="6834"/>
    <cellStyle name="_TG-TH_2_DTCDT MR.2N110.HOCMON.TDTOAN.CCUNG" xfId="3677"/>
    <cellStyle name="_TG-TH_2_DU TOAN bo bao ba lang" xfId="6835"/>
    <cellStyle name="_TG-TH_2_DU TOAN bo bao ba lang_STANDARD FILE" xfId="6836"/>
    <cellStyle name="_TG-TH_2_Du toan Mau" xfId="6837"/>
    <cellStyle name="_TG-TH_2_Du toan Mau_STANDARD FILE" xfId="6838"/>
    <cellStyle name="_TG-TH_2_DU TRU VAT TU" xfId="449"/>
    <cellStyle name="_TG-TH_2_giao KH 2011 ngay 10-12-2010" xfId="3679"/>
    <cellStyle name="_TG-TH_2_GT21_ CONG TIEU Þ60" xfId="6839"/>
    <cellStyle name="_TG-TH_2_GT21_ CONG TIEU Þ60_STANDARD FILE" xfId="6840"/>
    <cellStyle name="_TG-TH_2_GTGT 2003" xfId="3678"/>
    <cellStyle name="_TG-TH_2_GVL4" xfId="6841"/>
    <cellStyle name="_TG-TH_2_GVL4_STANDARD FILE" xfId="6842"/>
    <cellStyle name="_TG-TH_2_GVLmoi" xfId="6843"/>
    <cellStyle name="_TG-TH_2_GVLmoi_STANDARD FILE" xfId="6844"/>
    <cellStyle name="_TG-TH_2_k2+700" xfId="6845"/>
    <cellStyle name="_TG-TH_2_k2+700_STANDARD FILE" xfId="6846"/>
    <cellStyle name="_TG-TH_2_KE KHAI THUE GTGT 2004" xfId="3680"/>
    <cellStyle name="_TG-TH_2_KE KHAI THUE GTGT 2004_BCTC2004" xfId="3681"/>
    <cellStyle name="_TG-TH_2_KE LUONG THUC" xfId="6847"/>
    <cellStyle name="_TG-TH_2_KE LUONG THUC_STANDARD FILE" xfId="6848"/>
    <cellStyle name="_TG-TH_2_KE LUONG THUC111" xfId="6849"/>
    <cellStyle name="_TG-TH_2_KE LUONG THUC111_STANDARD FILE" xfId="6850"/>
    <cellStyle name="_TG-TH_2_KH TPCP 2016-2020 (tong hop)" xfId="3683"/>
    <cellStyle name="_TG-TH_2_KH TPCP vung TNB (03-1-2012)" xfId="3684"/>
    <cellStyle name="_TG-TH_2_kien giang 2" xfId="3682"/>
    <cellStyle name="_TG-TH_2_Lora-tungchau" xfId="3685"/>
    <cellStyle name="_TG-TH_2_Luy ke von ung nam 2011 -Thoa gui ngay 12-8-2012" xfId="3686"/>
    <cellStyle name="_TG-TH_2_NhanCong" xfId="3688"/>
    <cellStyle name="_TG-TH_2_N-X-T-04" xfId="3687"/>
    <cellStyle name="_TG-TH_2_PGIA-phieu tham tra Kho bac" xfId="3689"/>
    <cellStyle name="_TG-TH_2_phu luc tong ket tinh hinh TH giai doan 03-10 (ngay 30)" xfId="3694"/>
    <cellStyle name="_TG-TH_2_PT02-02" xfId="3690"/>
    <cellStyle name="_TG-TH_2_PT02-02_Book1" xfId="3691"/>
    <cellStyle name="_TG-TH_2_PT02-03" xfId="3692"/>
    <cellStyle name="_TG-TH_2_PT02-03_Book1" xfId="3693"/>
    <cellStyle name="_TG-TH_2_Qt-HT3PQ1(CauKho)" xfId="3695"/>
    <cellStyle name="_TG-TH_2_Sheet1" xfId="3696"/>
    <cellStyle name="_TG-TH_2_STANDARD FILE" xfId="6851"/>
    <cellStyle name="_TG-TH_2_STKL KE BAC LIEU" xfId="6852"/>
    <cellStyle name="_TG-TH_2_STKL KE BAC LIEU_STANDARD FILE" xfId="6853"/>
    <cellStyle name="_TG-TH_2_THDT" xfId="6858"/>
    <cellStyle name="_TG-TH_2_THDT_1" xfId="6859"/>
    <cellStyle name="_TG-TH_2_THDT_1_STANDARD FILE" xfId="6860"/>
    <cellStyle name="_TG-TH_2_THDT_STANDARD FILE" xfId="6861"/>
    <cellStyle name="_TG-TH_2_THONG KE THEP" xfId="6862"/>
    <cellStyle name="_TG-TH_2_THONG KE THEP_STANDARD FILE" xfId="6863"/>
    <cellStyle name="_TG-TH_2_TK152-04" xfId="3697"/>
    <cellStyle name="_TG-TH_2_TKHC-THOIQUAN-05-04-2004" xfId="6854"/>
    <cellStyle name="_TG-TH_2_TKHC-THOIQUAN-05-04-2004_STANDARD FILE" xfId="6855"/>
    <cellStyle name="_TG-TH_2_TMDTPA1" xfId="6856"/>
    <cellStyle name="_TG-TH_2_TMDTPA1_STANDARD FILE" xfId="6857"/>
    <cellStyle name="_TG-TH_2_ÿÿÿÿÿ" xfId="450"/>
    <cellStyle name="_TG-TH_2_ÿÿÿÿÿ_Bieu mau cong trinh khoi cong moi 3-4" xfId="3698"/>
    <cellStyle name="_TG-TH_2_ÿÿÿÿÿ_Bieu3ODA" xfId="3699"/>
    <cellStyle name="_TG-TH_2_ÿÿÿÿÿ_Bieu4HTMT" xfId="3700"/>
    <cellStyle name="_TG-TH_2_ÿÿÿÿÿ_KH TPCP vung TNB (03-1-2012)" xfId="3702"/>
    <cellStyle name="_TG-TH_2_ÿÿÿÿÿ_kien giang 2" xfId="3701"/>
    <cellStyle name="_TG-TH_3" xfId="451"/>
    <cellStyle name="_TG-TH_3 2" xfId="3703"/>
    <cellStyle name="_TG-TH_3_05-12  KH trung han 2016-2020 - Liem Thinh edited" xfId="3704"/>
    <cellStyle name="_TG-TH_3_Copy of 05-12  KH trung han 2016-2020 - Liem Thinh edited (1)" xfId="3705"/>
    <cellStyle name="_TG-TH_3_KH TPCP 2016-2020 (tong hop)" xfId="3706"/>
    <cellStyle name="_TG-TH_3_Lora-tungchau" xfId="3707"/>
    <cellStyle name="_TG-TH_3_Lora-tungchau 2" xfId="3708"/>
    <cellStyle name="_TG-TH_3_Lora-tungchau_05-12  KH trung han 2016-2020 - Liem Thinh edited" xfId="3709"/>
    <cellStyle name="_TG-TH_3_Lora-tungchau_Copy of 05-12  KH trung han 2016-2020 - Liem Thinh edited (1)" xfId="3710"/>
    <cellStyle name="_TG-TH_3_Lora-tungchau_KH TPCP 2016-2020 (tong hop)" xfId="3711"/>
    <cellStyle name="_TG-TH_3_Qt-HT3PQ1(CauKho)" xfId="3712"/>
    <cellStyle name="_TG-TH_3_STANDARD FILE" xfId="6864"/>
    <cellStyle name="_TG-TH_4" xfId="452"/>
    <cellStyle name="_TG-TH_4_C CHIN TUYEN" xfId="6865"/>
    <cellStyle name="_TG-TH_4_C CHIN TUYEN_STANDARD FILE" xfId="6866"/>
    <cellStyle name="_TG-TH_4_Copy of CAU CHIN TUYEN" xfId="6867"/>
    <cellStyle name="_TG-TH_4_Copy of CAU CHIN TUYEN_STANDARD FILE" xfId="6868"/>
    <cellStyle name="_TG-TH_4_DT CCAU SO 2" xfId="6869"/>
    <cellStyle name="_TG-TH_4_DT CCAU SO 2_STANDARD FILE" xfId="6870"/>
    <cellStyle name="_TG-TH_4_DU TOAN bo bao ba lang" xfId="6871"/>
    <cellStyle name="_TG-TH_4_DU TOAN bo bao ba lang_STANDARD FILE" xfId="6872"/>
    <cellStyle name="_TG-TH_4_Du toan Mau" xfId="6873"/>
    <cellStyle name="_TG-TH_4_Du toan Mau_STANDARD FILE" xfId="6874"/>
    <cellStyle name="_TG-TH_4_GT21_ CONG TIEU Þ60" xfId="6875"/>
    <cellStyle name="_TG-TH_4_GT21_ CONG TIEU Þ60_STANDARD FILE" xfId="6876"/>
    <cellStyle name="_TG-TH_4_GVL4" xfId="6877"/>
    <cellStyle name="_TG-TH_4_GVL4_STANDARD FILE" xfId="6878"/>
    <cellStyle name="_TG-TH_4_GVLmoi" xfId="6879"/>
    <cellStyle name="_TG-TH_4_GVLmoi_STANDARD FILE" xfId="6880"/>
    <cellStyle name="_TG-TH_4_k2+700" xfId="6881"/>
    <cellStyle name="_TG-TH_4_k2+700_STANDARD FILE" xfId="6882"/>
    <cellStyle name="_TG-TH_4_KE LUONG THUC" xfId="6883"/>
    <cellStyle name="_TG-TH_4_KE LUONG THUC_STANDARD FILE" xfId="6884"/>
    <cellStyle name="_TG-TH_4_KE LUONG THUC111" xfId="6885"/>
    <cellStyle name="_TG-TH_4_KE LUONG THUC111_STANDARD FILE" xfId="6886"/>
    <cellStyle name="_TG-TH_4_STANDARD FILE" xfId="6887"/>
    <cellStyle name="_TG-TH_4_STKL KE BAC LIEU" xfId="6888"/>
    <cellStyle name="_TG-TH_4_STKL KE BAC LIEU_STANDARD FILE" xfId="6889"/>
    <cellStyle name="_TG-TH_4_THDT" xfId="6892"/>
    <cellStyle name="_TG-TH_4_THDT_1" xfId="6893"/>
    <cellStyle name="_TG-TH_4_THDT_1_STANDARD FILE" xfId="6894"/>
    <cellStyle name="_TG-TH_4_THDT_STANDARD FILE" xfId="6895"/>
    <cellStyle name="_TG-TH_4_THONG KE THEP" xfId="6896"/>
    <cellStyle name="_TG-TH_4_THONG KE THEP_STANDARD FILE" xfId="6897"/>
    <cellStyle name="_TG-TH_4_TMDTPA1" xfId="6890"/>
    <cellStyle name="_TG-TH_4_TMDTPA1_STANDARD FILE" xfId="6891"/>
    <cellStyle name="_TG-TH_STANDARD FILE" xfId="6898"/>
    <cellStyle name="_TH KH 2010" xfId="3720"/>
    <cellStyle name="_THDT" xfId="6913"/>
    <cellStyle name="_THDT_1" xfId="6914"/>
    <cellStyle name="_THDT_1_STANDARD FILE" xfId="6915"/>
    <cellStyle name="_THDT_TMDTPA1" xfId="6916"/>
    <cellStyle name="_THDT_TMDTPA1_STANDARD FILE" xfId="6917"/>
    <cellStyle name="_THDTGOI 21" xfId="6918"/>
    <cellStyle name="_THONG KE THEP" xfId="6919"/>
    <cellStyle name="_THONG KE THEP_STANDARD FILE" xfId="6920"/>
    <cellStyle name="_TK152-04" xfId="3713"/>
    <cellStyle name="_TKHC-THOIQUAN-05-04-2004" xfId="6900"/>
    <cellStyle name="_TKHC-THOIQUAN-05-04-2004_STANDARD FILE" xfId="6901"/>
    <cellStyle name="_TKP Cam Dong sua" xfId="6899"/>
    <cellStyle name="_TMDTPA1" xfId="6902"/>
    <cellStyle name="_TONG DU TOAN VINH LONG-PA1" xfId="6903"/>
    <cellStyle name="_TONG DU TOAN VINH LONG-PA1_da sua - 4 DU TOAN CAU BAN KENH MUONG LO" xfId="6904"/>
    <cellStyle name="_TONG DU TOAN VINH LONG-PA1_duong giong nhan ganh hao - cong ngang duong" xfId="6905"/>
    <cellStyle name="_TONG DU TOAN VINH LONG-PA1_Duong Giong Nhan Ganh Hao - Duong giao thong" xfId="6906"/>
    <cellStyle name="_Tong dutoan PP LAHAI" xfId="453"/>
    <cellStyle name="_Tong hop may cheu nganh 1" xfId="6907"/>
    <cellStyle name="_Tong hop may cheu nganh 1_4 XA DE BAO NGOAI" xfId="6908"/>
    <cellStyle name="_Tong hop may cheu nganh 1_4 XA DE BAO NGOAI (Tien)" xfId="6909"/>
    <cellStyle name="_Tong hop may cheu nganh 1_CONG 9 NHUONG" xfId="6910"/>
    <cellStyle name="_Tong hop may cheu nganh 1_GIA VAT LIEU DEN HIEN TRUONG" xfId="6911"/>
    <cellStyle name="_Tong hop may cheu nganh 1_THANDINH_NCBB SONG MAYPHOP(gia cat Vung Liem)" xfId="6912"/>
    <cellStyle name="_TPCP GT-24-5-Mien Nui" xfId="3714"/>
    <cellStyle name="_TPCP GT-24-5-Mien Nui_!1 1 bao cao giao KH ve HTCMT vung TNB   12-12-2011" xfId="3715"/>
    <cellStyle name="_TPCP GT-24-5-Mien Nui_Bieu4HTMT" xfId="3716"/>
    <cellStyle name="_TPCP GT-24-5-Mien Nui_Bieu4HTMT_!1 1 bao cao giao KH ve HTCMT vung TNB   12-12-2011" xfId="3717"/>
    <cellStyle name="_TPCP GT-24-5-Mien Nui_Bieu4HTMT_KH TPCP vung TNB (03-1-2012)" xfId="3718"/>
    <cellStyle name="_TPCP GT-24-5-Mien Nui_KH TPCP vung TNB (03-1-2012)" xfId="3719"/>
    <cellStyle name="_ung truoc 2011 NSTW Thanh Hoa + Nge An gui Thu 12-5" xfId="3721"/>
    <cellStyle name="_ung truoc 2011 NSTW Thanh Hoa + Nge An gui Thu 12-5_!1 1 bao cao giao KH ve HTCMT vung TNB   12-12-2011" xfId="3722"/>
    <cellStyle name="_ung truoc 2011 NSTW Thanh Hoa + Nge An gui Thu 12-5_Bieu4HTMT" xfId="3723"/>
    <cellStyle name="_ung truoc 2011 NSTW Thanh Hoa + Nge An gui Thu 12-5_Bieu4HTMT_!1 1 bao cao giao KH ve HTCMT vung TNB   12-12-2011" xfId="3724"/>
    <cellStyle name="_ung truoc 2011 NSTW Thanh Hoa + Nge An gui Thu 12-5_Bieu4HTMT_KH TPCP vung TNB (03-1-2012)" xfId="3725"/>
    <cellStyle name="_ung truoc 2011 NSTW Thanh Hoa + Nge An gui Thu 12-5_KH TPCP vung TNB (03-1-2012)" xfId="3726"/>
    <cellStyle name="_ung truoc cua long an (6-5-2010)" xfId="3727"/>
    <cellStyle name="_Ung von nam 2011 vung TNB - Doan Cong tac (12-5-2010)" xfId="3728"/>
    <cellStyle name="_Ung von nam 2011 vung TNB - Doan Cong tac (12-5-2010)_!1 1 bao cao giao KH ve HTCMT vung TNB   12-12-2011" xfId="3729"/>
    <cellStyle name="_Ung von nam 2011 vung TNB - Doan Cong tac (12-5-2010)_Bieu4HTMT" xfId="3730"/>
    <cellStyle name="_Ung von nam 2011 vung TNB - Doan Cong tac (12-5-2010)_Bieu4HTMT_!1 1 bao cao giao KH ve HTCMT vung TNB   12-12-2011" xfId="3731"/>
    <cellStyle name="_Ung von nam 2011 vung TNB - Doan Cong tac (12-5-2010)_Bieu4HTMT_KH TPCP vung TNB (03-1-2012)" xfId="3732"/>
    <cellStyle name="_Ung von nam 2011 vung TNB - Doan Cong tac (12-5-2010)_Chuẩn bị đầu tư 2011 (sep Hung)_KH 2012 (T3-2013)" xfId="3739"/>
    <cellStyle name="_Ung von nam 2011 vung TNB - Doan Cong tac (12-5-2010)_Cong trinh co y kien LD_Dang_NN_2011-Tay nguyen-9-10" xfId="3733"/>
    <cellStyle name="_Ung von nam 2011 vung TNB - Doan Cong tac (12-5-2010)_Cong trinh co y kien LD_Dang_NN_2011-Tay nguyen-9-10_!1 1 bao cao giao KH ve HTCMT vung TNB   12-12-2011" xfId="3734"/>
    <cellStyle name="_Ung von nam 2011 vung TNB - Doan Cong tac (12-5-2010)_Cong trinh co y kien LD_Dang_NN_2011-Tay nguyen-9-10_Bieu4HTMT" xfId="3735"/>
    <cellStyle name="_Ung von nam 2011 vung TNB - Doan Cong tac (12-5-2010)_Cong trinh co y kien LD_Dang_NN_2011-Tay nguyen-9-10_Bieu4HTMT_!1 1 bao cao giao KH ve HTCMT vung TNB   12-12-2011" xfId="3736"/>
    <cellStyle name="_Ung von nam 2011 vung TNB - Doan Cong tac (12-5-2010)_Cong trinh co y kien LD_Dang_NN_2011-Tay nguyen-9-10_Bieu4HTMT_KH TPCP vung TNB (03-1-2012)" xfId="3737"/>
    <cellStyle name="_Ung von nam 2011 vung TNB - Doan Cong tac (12-5-2010)_Cong trinh co y kien LD_Dang_NN_2011-Tay nguyen-9-10_KH TPCP vung TNB (03-1-2012)" xfId="3738"/>
    <cellStyle name="_Ung von nam 2011 vung TNB - Doan Cong tac (12-5-2010)_KH TPCP vung TNB (03-1-2012)" xfId="3740"/>
    <cellStyle name="_Ung von nam 2011 vung TNB - Doan Cong tac (12-5-2010)_TN - Ho tro khac 2011" xfId="3741"/>
    <cellStyle name="_Ung von nam 2011 vung TNB - Doan Cong tac (12-5-2010)_TN - Ho tro khac 2011_!1 1 bao cao giao KH ve HTCMT vung TNB   12-12-2011" xfId="3742"/>
    <cellStyle name="_Ung von nam 2011 vung TNB - Doan Cong tac (12-5-2010)_TN - Ho tro khac 2011_Bieu4HTMT" xfId="3743"/>
    <cellStyle name="_Ung von nam 2011 vung TNB - Doan Cong tac (12-5-2010)_TN - Ho tro khac 2011_Bieu4HTMT_!1 1 bao cao giao KH ve HTCMT vung TNB   12-12-2011" xfId="3744"/>
    <cellStyle name="_Ung von nam 2011 vung TNB - Doan Cong tac (12-5-2010)_TN - Ho tro khac 2011_Bieu4HTMT_KH TPCP vung TNB (03-1-2012)" xfId="3745"/>
    <cellStyle name="_Ung von nam 2011 vung TNB - Doan Cong tac (12-5-2010)_TN - Ho tro khac 2011_KH TPCP vung TNB (03-1-2012)" xfId="3746"/>
    <cellStyle name="_Von dau tu 2006-2020 (TL chien luoc)" xfId="3747"/>
    <cellStyle name="_Von dau tu 2006-2020 (TL chien luoc)_15_10_2013 BC nhu cau von doi ung ODA (2014-2016) ngay 15102013 Sua" xfId="3748"/>
    <cellStyle name="_Von dau tu 2006-2020 (TL chien luoc)_BC nhu cau von doi ung ODA nganh NN (BKH)" xfId="3749"/>
    <cellStyle name="_Von dau tu 2006-2020 (TL chien luoc)_BC nhu cau von doi ung ODA nganh NN (BKH)_05-12  KH trung han 2016-2020 - Liem Thinh edited" xfId="3750"/>
    <cellStyle name="_Von dau tu 2006-2020 (TL chien luoc)_BC nhu cau von doi ung ODA nganh NN (BKH)_Copy of 05-12  KH trung han 2016-2020 - Liem Thinh edited (1)" xfId="3751"/>
    <cellStyle name="_Von dau tu 2006-2020 (TL chien luoc)_BC Tai co cau (bieu TH)" xfId="3752"/>
    <cellStyle name="_Von dau tu 2006-2020 (TL chien luoc)_BC Tai co cau (bieu TH)_05-12  KH trung han 2016-2020 - Liem Thinh edited" xfId="3753"/>
    <cellStyle name="_Von dau tu 2006-2020 (TL chien luoc)_BC Tai co cau (bieu TH)_Copy of 05-12  KH trung han 2016-2020 - Liem Thinh edited (1)" xfId="3754"/>
    <cellStyle name="_Von dau tu 2006-2020 (TL chien luoc)_DK 2014-2015 final" xfId="3755"/>
    <cellStyle name="_Von dau tu 2006-2020 (TL chien luoc)_DK 2014-2015 final_05-12  KH trung han 2016-2020 - Liem Thinh edited" xfId="3756"/>
    <cellStyle name="_Von dau tu 2006-2020 (TL chien luoc)_DK 2014-2015 final_Copy of 05-12  KH trung han 2016-2020 - Liem Thinh edited (1)" xfId="3757"/>
    <cellStyle name="_Von dau tu 2006-2020 (TL chien luoc)_DK 2014-2015 new" xfId="3758"/>
    <cellStyle name="_Von dau tu 2006-2020 (TL chien luoc)_DK 2014-2015 new_05-12  KH trung han 2016-2020 - Liem Thinh edited" xfId="3759"/>
    <cellStyle name="_Von dau tu 2006-2020 (TL chien luoc)_DK 2014-2015 new_Copy of 05-12  KH trung han 2016-2020 - Liem Thinh edited (1)" xfId="3760"/>
    <cellStyle name="_Von dau tu 2006-2020 (TL chien luoc)_DK KH CBDT 2014 11-11-2013" xfId="3761"/>
    <cellStyle name="_Von dau tu 2006-2020 (TL chien luoc)_DK KH CBDT 2014 11-11-2013(1)" xfId="3762"/>
    <cellStyle name="_Von dau tu 2006-2020 (TL chien luoc)_DK KH CBDT 2014 11-11-2013(1)_05-12  KH trung han 2016-2020 - Liem Thinh edited" xfId="3763"/>
    <cellStyle name="_Von dau tu 2006-2020 (TL chien luoc)_DK KH CBDT 2014 11-11-2013(1)_Copy of 05-12  KH trung han 2016-2020 - Liem Thinh edited (1)" xfId="3764"/>
    <cellStyle name="_Von dau tu 2006-2020 (TL chien luoc)_DK KH CBDT 2014 11-11-2013_05-12  KH trung han 2016-2020 - Liem Thinh edited" xfId="3765"/>
    <cellStyle name="_Von dau tu 2006-2020 (TL chien luoc)_DK KH CBDT 2014 11-11-2013_Copy of 05-12  KH trung han 2016-2020 - Liem Thinh edited (1)" xfId="3766"/>
    <cellStyle name="_Von dau tu 2006-2020 (TL chien luoc)_KH 2011-2015" xfId="3767"/>
    <cellStyle name="_Von dau tu 2006-2020 (TL chien luoc)_tai co cau dau tu (tong hop)1" xfId="3768"/>
    <cellStyle name="_x005f_x0001_" xfId="3769"/>
    <cellStyle name="_x005f_x0001__!1 1 bao cao giao KH ve HTCMT vung TNB   12-12-2011" xfId="3770"/>
    <cellStyle name="_x005f_x0001__kien giang 2" xfId="3771"/>
    <cellStyle name="_x005f_x000d__x005f_x000a_JournalTemplate=C:\COMFO\CTALK\JOURSTD.TPL_x005f_x000d__x005f_x000a_LbStateAddress=3 3 0 251 1 89 2 311_x005f_x000d__x005f_x000a_LbStateJou" xfId="3772"/>
    <cellStyle name="_x005f_x005f_x005f_x0001_" xfId="3773"/>
    <cellStyle name="_x005f_x005f_x005f_x0001__!1 1 bao cao giao KH ve HTCMT vung TNB   12-12-2011" xfId="3774"/>
    <cellStyle name="_x005f_x005f_x005f_x0001__kien giang 2" xfId="3775"/>
    <cellStyle name="_x005f_x005f_x005f_x000d__x005f_x005f_x005f_x000a_JournalTemplate=C:\COMFO\CTALK\JOURSTD.TPL_x005f_x005f_x005f_x000d__x005f_x005f_x005f_x000a_LbStateAddress=3 3 0 251 1 89 2 311_x005f_x005f_x005f_x000d__x005f_x005f_x005f_x000a_LbStateJou" xfId="3776"/>
    <cellStyle name="_XDCB thang 12.2010" xfId="3777"/>
    <cellStyle name="_XN-TV1_d" xfId="6921"/>
    <cellStyle name="_XN-TV1_d_da sua - 4 DU TOAN CAU BAN KENH MUONG LO" xfId="6922"/>
    <cellStyle name="_XN-TV1_d_duong giong nhan ganh hao - cong ngang duong" xfId="6923"/>
    <cellStyle name="_XN-TV1_d_Duong Giong Nhan Ganh Hao - Duong giao thong" xfId="6924"/>
    <cellStyle name="_XN-TV1_d_KL-DH" xfId="6925"/>
    <cellStyle name="_XN-TV1_d_KL-DH_da sua - 4 DU TOAN CAU BAN KENH MUONG LO" xfId="6926"/>
    <cellStyle name="_XN-TV1_d_KL-DH_DT CONG-thamdinh" xfId="6927"/>
    <cellStyle name="_XN-TV1_d_KL-DHDM" xfId="6928"/>
    <cellStyle name="_XN-TV1_d_KL-DHDM_da sua - 4 DU TOAN CAU BAN KENH MUONG LO" xfId="6929"/>
    <cellStyle name="_XN-TV1_d_KL-DHDM_DT CONG-thamdinh" xfId="6930"/>
    <cellStyle name="_XN-TV1_d_KL-DHK" xfId="6931"/>
    <cellStyle name="_XN-TV1_d_KL-DHK_da sua - 4 DU TOAN CAU BAN KENH MUONG LO" xfId="6932"/>
    <cellStyle name="_XN-TV1_d_KL-DHK_DT CONG-thamdinh" xfId="6933"/>
    <cellStyle name="_ÿÿÿÿÿ" xfId="454"/>
    <cellStyle name="_ÿÿÿÿÿ 2" xfId="455"/>
    <cellStyle name="_ÿÿÿÿÿ_Bieu mau cong trinh khoi cong moi 3-4" xfId="3778"/>
    <cellStyle name="_ÿÿÿÿÿ_Bieu mau cong trinh khoi cong moi 3-4_!1 1 bao cao giao KH ve HTCMT vung TNB   12-12-2011" xfId="3779"/>
    <cellStyle name="_ÿÿÿÿÿ_Bieu mau cong trinh khoi cong moi 3-4_KH TPCP vung TNB (03-1-2012)" xfId="3780"/>
    <cellStyle name="_ÿÿÿÿÿ_Bieu3ODA" xfId="3781"/>
    <cellStyle name="_ÿÿÿÿÿ_Bieu3ODA_!1 1 bao cao giao KH ve HTCMT vung TNB   12-12-2011" xfId="3782"/>
    <cellStyle name="_ÿÿÿÿÿ_Bieu3ODA_KH TPCP vung TNB (03-1-2012)" xfId="3783"/>
    <cellStyle name="_ÿÿÿÿÿ_Bieu4HTMT" xfId="3784"/>
    <cellStyle name="_ÿÿÿÿÿ_Bieu4HTMT_!1 1 bao cao giao KH ve HTCMT vung TNB   12-12-2011" xfId="3785"/>
    <cellStyle name="_ÿÿÿÿÿ_Bieu4HTMT_KH TPCP vung TNB (03-1-2012)" xfId="3786"/>
    <cellStyle name="_ÿÿÿÿÿ_Kh ql62 (2010) 11-09" xfId="456"/>
    <cellStyle name="_ÿÿÿÿÿ_KH TPCP vung TNB (03-1-2012)" xfId="3788"/>
    <cellStyle name="_ÿÿÿÿÿ_Khung 2012" xfId="3789"/>
    <cellStyle name="_ÿÿÿÿÿ_kien giang 2" xfId="3787"/>
    <cellStyle name="~1" xfId="457"/>
    <cellStyle name="~1 2" xfId="458"/>
    <cellStyle name="~1?_x000d_Comma [0]_I.1?b_x000d_Comma [0]_I.3?b_x000c_Comma [0]_II?_x0012_Comma [0]_larou" xfId="6934"/>
    <cellStyle name="~1_STANDARD FILE" xfId="6935"/>
    <cellStyle name="’Ê‰Ý [0.00]_laroux" xfId="3790"/>
    <cellStyle name="’Ê‰Ý_laroux" xfId="3791"/>
    <cellStyle name="¤@¯ë_CHI PHI QUAN LY 1-00" xfId="3792"/>
    <cellStyle name="»õ±Ò[0]_Sheet1" xfId="459"/>
    <cellStyle name="»õ±Ò_Sheet1" xfId="460"/>
    <cellStyle name="•W?_Format" xfId="461"/>
    <cellStyle name="•W€_’·Šú‰p•¶" xfId="462"/>
    <cellStyle name="•W_’·Šú‰p•¶" xfId="463"/>
    <cellStyle name="W_MARINE" xfId="464"/>
    <cellStyle name="0" xfId="465"/>
    <cellStyle name="0 2" xfId="466"/>
    <cellStyle name="0,0_x000a__x000a_NA_x000a__x000a_" xfId="3793"/>
    <cellStyle name="0,0_x000d__x000a_NA_x000d__x000a_" xfId="3794"/>
    <cellStyle name="0,0_x000d__x000a_NA_x000d__x000a_ 2" xfId="3795"/>
    <cellStyle name="0,0_x000d__x000a_NA_x000d__x000a__Thanh hoa chinh thuc 28-2" xfId="3796"/>
    <cellStyle name="0,0_x005f_x000d__x005f_x000a_NA_x005f_x000d__x005f_x000a_" xfId="3797"/>
    <cellStyle name="0.0" xfId="467"/>
    <cellStyle name="0.0 2" xfId="468"/>
    <cellStyle name="0.0 3" xfId="469"/>
    <cellStyle name="0.0 4" xfId="470"/>
    <cellStyle name="0.00" xfId="471"/>
    <cellStyle name="0.00 2" xfId="472"/>
    <cellStyle name="0.00 3" xfId="473"/>
    <cellStyle name="0.00 4" xfId="474"/>
    <cellStyle name="1" xfId="475"/>
    <cellStyle name="1 2" xfId="476"/>
    <cellStyle name="1 3" xfId="477"/>
    <cellStyle name="1 4" xfId="478"/>
    <cellStyle name="1?b_x000d_Comma [0]_CPK?b_x0011_Comma [0]_CP" xfId="6936"/>
    <cellStyle name="1_!1 1 bao cao giao KH ve HTCMT vung TNB   12-12-2011" xfId="3798"/>
    <cellStyle name="1_BAO GIA NGAY 24-10-08 (co dam)" xfId="479"/>
    <cellStyle name="1_BAO GIA NGAY 24-10-08 (co dam) 2" xfId="480"/>
    <cellStyle name="1_Bieu4HTMT" xfId="3799"/>
    <cellStyle name="1_Book1" xfId="481"/>
    <cellStyle name="1_Book1 2" xfId="482"/>
    <cellStyle name="1_Book1_1" xfId="483"/>
    <cellStyle name="1_Book1_1 2" xfId="484"/>
    <cellStyle name="1_Book1_1_!1 1 bao cao giao KH ve HTCMT vung TNB   12-12-2011" xfId="3800"/>
    <cellStyle name="1_Book1_1_Bieu4HTMT" xfId="3801"/>
    <cellStyle name="1_Book1_1_Bieu4HTMT_!1 1 bao cao giao KH ve HTCMT vung TNB   12-12-2011" xfId="3802"/>
    <cellStyle name="1_Book1_1_Bieu4HTMT_KH TPCP vung TNB (03-1-2012)" xfId="3803"/>
    <cellStyle name="1_Book1_1_KH TPCP vung TNB (03-1-2012)" xfId="3804"/>
    <cellStyle name="1_Cau thuy dien Ban La (Cu Anh)" xfId="485"/>
    <cellStyle name="1_Cau thuy dien Ban La (Cu Anh) 2" xfId="486"/>
    <cellStyle name="1_Cau thuy dien Ban La (Cu Anh)_!1 1 bao cao giao KH ve HTCMT vung TNB   12-12-2011" xfId="3805"/>
    <cellStyle name="1_Cau thuy dien Ban La (Cu Anh)_Bieu4HTMT" xfId="3806"/>
    <cellStyle name="1_Cau thuy dien Ban La (Cu Anh)_Bieu4HTMT_!1 1 bao cao giao KH ve HTCMT vung TNB   12-12-2011" xfId="3807"/>
    <cellStyle name="1_Cau thuy dien Ban La (Cu Anh)_Bieu4HTMT_KH TPCP vung TNB (03-1-2012)" xfId="3808"/>
    <cellStyle name="1_Cau thuy dien Ban La (Cu Anh)_KH TPCP vung TNB (03-1-2012)" xfId="3809"/>
    <cellStyle name="1_Cong trinh co y kien LD_Dang_NN_2011-Tay nguyen-9-10" xfId="3810"/>
    <cellStyle name="1_da sua - 4 DU TOAN CAU BAN KENH MUONG LO" xfId="6937"/>
    <cellStyle name="1_DT KSTK CHUAN 1" xfId="6938"/>
    <cellStyle name="1_Du toan 558 (Km17+508.12 - Km 22)" xfId="487"/>
    <cellStyle name="1_Du toan 558 (Km17+508.12 - Km 22) 2" xfId="488"/>
    <cellStyle name="1_Du toan 558 (Km17+508.12 - Km 22)_!1 1 bao cao giao KH ve HTCMT vung TNB   12-12-2011" xfId="3811"/>
    <cellStyle name="1_Du toan 558 (Km17+508.12 - Km 22)_Bieu4HTMT" xfId="3812"/>
    <cellStyle name="1_Du toan 558 (Km17+508.12 - Km 22)_Bieu4HTMT_!1 1 bao cao giao KH ve HTCMT vung TNB   12-12-2011" xfId="3813"/>
    <cellStyle name="1_Du toan 558 (Km17+508.12 - Km 22)_Bieu4HTMT_KH TPCP vung TNB (03-1-2012)" xfId="3814"/>
    <cellStyle name="1_Du toan 558 (Km17+508.12 - Km 22)_KH TPCP vung TNB (03-1-2012)" xfId="3815"/>
    <cellStyle name="1_duong giong nhan ganh hao - cong ngang duong" xfId="6939"/>
    <cellStyle name="1_duong giong nhan ganh hao - cong ngang duong_STANDARD FILE" xfId="6940"/>
    <cellStyle name="1_Duong Giong Nhan Ganh Hao - Duong giao thong" xfId="6941"/>
    <cellStyle name="1_Gia_VLQL48_duyet " xfId="489"/>
    <cellStyle name="1_Gia_VLQL48_duyet  2" xfId="490"/>
    <cellStyle name="1_Gia_VLQL48_duyet _!1 1 bao cao giao KH ve HTCMT vung TNB   12-12-2011" xfId="3816"/>
    <cellStyle name="1_Gia_VLQL48_duyet _Bieu4HTMT" xfId="3817"/>
    <cellStyle name="1_Gia_VLQL48_duyet _Bieu4HTMT_!1 1 bao cao giao KH ve HTCMT vung TNB   12-12-2011" xfId="3818"/>
    <cellStyle name="1_Gia_VLQL48_duyet _Bieu4HTMT_KH TPCP vung TNB (03-1-2012)" xfId="3819"/>
    <cellStyle name="1_Gia_VLQL48_duyet _KH TPCP vung TNB (03-1-2012)" xfId="3820"/>
    <cellStyle name="1_KenhBacKrongpach-(sua)" xfId="6942"/>
    <cellStyle name="1_KenhBacKrongpach-(sua)_STANDARD FILE" xfId="6943"/>
    <cellStyle name="1_Kh ql62 (2010) 11-09" xfId="493"/>
    <cellStyle name="1_Kh ql62 (2010) 11-09 2" xfId="494"/>
    <cellStyle name="1_KH TPCP vung TNB (03-1-2012)" xfId="3826"/>
    <cellStyle name="1_Khung 2012" xfId="3827"/>
    <cellStyle name="1_KL-DH" xfId="6944"/>
    <cellStyle name="1_KL-DH_STANDARD FILE" xfId="6945"/>
    <cellStyle name="1_KL-DHDM" xfId="6946"/>
    <cellStyle name="1_KL-DHDM_STANDARD FILE" xfId="6947"/>
    <cellStyle name="1_KL-DHK" xfId="6948"/>
    <cellStyle name="1_KL-DHK_STANDARD FILE" xfId="6949"/>
    <cellStyle name="1_KlQdinhduyet" xfId="491"/>
    <cellStyle name="1_KlQdinhduyet 2" xfId="492"/>
    <cellStyle name="1_KlQdinhduyet_!1 1 bao cao giao KH ve HTCMT vung TNB   12-12-2011" xfId="3821"/>
    <cellStyle name="1_KlQdinhduyet_Bieu4HTMT" xfId="3822"/>
    <cellStyle name="1_KlQdinhduyet_Bieu4HTMT_!1 1 bao cao giao KH ve HTCMT vung TNB   12-12-2011" xfId="3823"/>
    <cellStyle name="1_KlQdinhduyet_Bieu4HTMT_KH TPCP vung TNB (03-1-2012)" xfId="3824"/>
    <cellStyle name="1_KlQdinhduyet_KH TPCP vung TNB (03-1-2012)" xfId="3825"/>
    <cellStyle name="1_TN - Ho tro khac 2011" xfId="3828"/>
    <cellStyle name="1_TRUNG PMU 5" xfId="3829"/>
    <cellStyle name="1_ÿÿÿÿÿ" xfId="495"/>
    <cellStyle name="1_ÿÿÿÿÿ 2" xfId="496"/>
    <cellStyle name="1_ÿÿÿÿÿ_Bieu tong hop nhu cau ung 2011 da chon loc -Mien nui" xfId="3830"/>
    <cellStyle name="1_ÿÿÿÿÿ_Bieu tong hop nhu cau ung 2011 da chon loc -Mien nui 2" xfId="3831"/>
    <cellStyle name="1_ÿÿÿÿÿ_Kh ql62 (2010) 11-09" xfId="497"/>
    <cellStyle name="1_ÿÿÿÿÿ_Kh ql62 (2010) 11-09 2" xfId="498"/>
    <cellStyle name="1_ÿÿÿÿÿ_Khung 2012" xfId="3832"/>
    <cellStyle name="12.75" xfId="6950"/>
    <cellStyle name="15" xfId="3833"/>
    <cellStyle name="18" xfId="499"/>
    <cellStyle name="¹éºÐÀ²_      " xfId="500"/>
    <cellStyle name="2" xfId="501"/>
    <cellStyle name="2 2" xfId="502"/>
    <cellStyle name="2 3" xfId="503"/>
    <cellStyle name="2 4" xfId="504"/>
    <cellStyle name="2_4 XA DE BAO NGOAI" xfId="6951"/>
    <cellStyle name="2_4 XA DE BAO NGOAI (Tien)" xfId="6952"/>
    <cellStyle name="2_Book1" xfId="505"/>
    <cellStyle name="2_Book1 2" xfId="506"/>
    <cellStyle name="2_Book1_1" xfId="507"/>
    <cellStyle name="2_Book1_1 2" xfId="508"/>
    <cellStyle name="2_Book1_1_!1 1 bao cao giao KH ve HTCMT vung TNB   12-12-2011" xfId="3834"/>
    <cellStyle name="2_Book1_1_Bieu4HTMT" xfId="3835"/>
    <cellStyle name="2_Book1_1_Bieu4HTMT_!1 1 bao cao giao KH ve HTCMT vung TNB   12-12-2011" xfId="3836"/>
    <cellStyle name="2_Book1_1_Bieu4HTMT_KH TPCP vung TNB (03-1-2012)" xfId="3837"/>
    <cellStyle name="2_Book1_1_KH TPCP vung TNB (03-1-2012)" xfId="3838"/>
    <cellStyle name="2_Cau thuy dien Ban La (Cu Anh)" xfId="509"/>
    <cellStyle name="2_Cau thuy dien Ban La (Cu Anh) 2" xfId="510"/>
    <cellStyle name="2_Cau thuy dien Ban La (Cu Anh)_!1 1 bao cao giao KH ve HTCMT vung TNB   12-12-2011" xfId="3839"/>
    <cellStyle name="2_Cau thuy dien Ban La (Cu Anh)_Bieu4HTMT" xfId="3840"/>
    <cellStyle name="2_Cau thuy dien Ban La (Cu Anh)_Bieu4HTMT_!1 1 bao cao giao KH ve HTCMT vung TNB   12-12-2011" xfId="3841"/>
    <cellStyle name="2_Cau thuy dien Ban La (Cu Anh)_Bieu4HTMT_KH TPCP vung TNB (03-1-2012)" xfId="3842"/>
    <cellStyle name="2_Cau thuy dien Ban La (Cu Anh)_KH TPCP vung TNB (03-1-2012)" xfId="3843"/>
    <cellStyle name="2_CONG 9 NHUONG" xfId="6953"/>
    <cellStyle name="2_Du toan 558 (Km17+508.12 - Km 22)" xfId="511"/>
    <cellStyle name="2_Du toan 558 (Km17+508.12 - Km 22) 2" xfId="512"/>
    <cellStyle name="2_Du toan 558 (Km17+508.12 - Km 22)_!1 1 bao cao giao KH ve HTCMT vung TNB   12-12-2011" xfId="3844"/>
    <cellStyle name="2_Du toan 558 (Km17+508.12 - Km 22)_Bieu4HTMT" xfId="3845"/>
    <cellStyle name="2_Du toan 558 (Km17+508.12 - Km 22)_Bieu4HTMT_!1 1 bao cao giao KH ve HTCMT vung TNB   12-12-2011" xfId="3846"/>
    <cellStyle name="2_Du toan 558 (Km17+508.12 - Km 22)_Bieu4HTMT_KH TPCP vung TNB (03-1-2012)" xfId="3847"/>
    <cellStyle name="2_Du toan 558 (Km17+508.12 - Km 22)_KH TPCP vung TNB (03-1-2012)" xfId="3848"/>
    <cellStyle name="2_GIA VAT LIEU DEN HIEN TRUONG" xfId="6954"/>
    <cellStyle name="2_Gia_VLQL48_duyet " xfId="513"/>
    <cellStyle name="2_Gia_VLQL48_duyet  2" xfId="514"/>
    <cellStyle name="2_Gia_VLQL48_duyet _!1 1 bao cao giao KH ve HTCMT vung TNB   12-12-2011" xfId="3849"/>
    <cellStyle name="2_Gia_VLQL48_duyet _Bieu4HTMT" xfId="3850"/>
    <cellStyle name="2_Gia_VLQL48_duyet _Bieu4HTMT_!1 1 bao cao giao KH ve HTCMT vung TNB   12-12-2011" xfId="3851"/>
    <cellStyle name="2_Gia_VLQL48_duyet _Bieu4HTMT_KH TPCP vung TNB (03-1-2012)" xfId="3852"/>
    <cellStyle name="2_Gia_VLQL48_duyet _KH TPCP vung TNB (03-1-2012)" xfId="3853"/>
    <cellStyle name="2_KlQdinhduyet" xfId="515"/>
    <cellStyle name="2_KlQdinhduyet 2" xfId="516"/>
    <cellStyle name="2_KlQdinhduyet_!1 1 bao cao giao KH ve HTCMT vung TNB   12-12-2011" xfId="3854"/>
    <cellStyle name="2_KlQdinhduyet_Bieu4HTMT" xfId="3855"/>
    <cellStyle name="2_KlQdinhduyet_Bieu4HTMT_!1 1 bao cao giao KH ve HTCMT vung TNB   12-12-2011" xfId="3856"/>
    <cellStyle name="2_KlQdinhduyet_Bieu4HTMT_KH TPCP vung TNB (03-1-2012)" xfId="3857"/>
    <cellStyle name="2_KlQdinhduyet_KH TPCP vung TNB (03-1-2012)" xfId="3858"/>
    <cellStyle name="2_THANDINH_NCBB SONG MAYPHOP(gia cat Vung Liem)" xfId="6955"/>
    <cellStyle name="2_TRUNG PMU 5" xfId="3859"/>
    <cellStyle name="2_ÿÿÿÿÿ" xfId="517"/>
    <cellStyle name="2_ÿÿÿÿÿ 2" xfId="518"/>
    <cellStyle name="2_ÿÿÿÿÿ_Bieu tong hop nhu cau ung 2011 da chon loc -Mien nui" xfId="3860"/>
    <cellStyle name="2_ÿÿÿÿÿ_Bieu tong hop nhu cau ung 2011 da chon loc -Mien nui 2" xfId="3861"/>
    <cellStyle name="20" xfId="6956"/>
    <cellStyle name="20% - Accent1 2" xfId="519"/>
    <cellStyle name="20% - Accent1 2 2" xfId="2356"/>
    <cellStyle name="20% - Accent1 2 3" xfId="2410"/>
    <cellStyle name="20% - Accent1 3" xfId="520"/>
    <cellStyle name="20% - Accent1 4" xfId="521"/>
    <cellStyle name="20% - Accent2 2" xfId="522"/>
    <cellStyle name="20% - Accent2 2 2" xfId="2355"/>
    <cellStyle name="20% - Accent2 2 3" xfId="2395"/>
    <cellStyle name="20% - Accent2 3" xfId="523"/>
    <cellStyle name="20% - Accent2 4" xfId="524"/>
    <cellStyle name="20% - Accent3 2" xfId="525"/>
    <cellStyle name="20% - Accent3 2 2" xfId="2354"/>
    <cellStyle name="20% - Accent3 2 3" xfId="2397"/>
    <cellStyle name="20% - Accent3 3" xfId="526"/>
    <cellStyle name="20% - Accent3 4" xfId="527"/>
    <cellStyle name="20% - Accent4 2" xfId="528"/>
    <cellStyle name="20% - Accent4 2 2" xfId="2353"/>
    <cellStyle name="20% - Accent4 2 3" xfId="2396"/>
    <cellStyle name="20% - Accent4 3" xfId="529"/>
    <cellStyle name="20% - Accent4 4" xfId="530"/>
    <cellStyle name="20% - Accent5 2" xfId="531"/>
    <cellStyle name="20% - Accent5 2 2" xfId="2352"/>
    <cellStyle name="20% - Accent5 2 3" xfId="2375"/>
    <cellStyle name="20% - Accent5 3" xfId="532"/>
    <cellStyle name="20% - Accent5 4" xfId="533"/>
    <cellStyle name="20% - Accent6 2" xfId="534"/>
    <cellStyle name="20% - Accent6 2 2" xfId="2351"/>
    <cellStyle name="20% - Accent6 2 3" xfId="2368"/>
    <cellStyle name="20% - Accent6 3" xfId="535"/>
    <cellStyle name="20% - Accent6 4" xfId="536"/>
    <cellStyle name="20% - Nhấn1" xfId="6957"/>
    <cellStyle name="20% - Nhấn2" xfId="6958"/>
    <cellStyle name="20% - Nhấn3" xfId="6959"/>
    <cellStyle name="20% - Nhấn4" xfId="6960"/>
    <cellStyle name="20% - Nhấn5" xfId="6961"/>
    <cellStyle name="20% - Nhấn6" xfId="6962"/>
    <cellStyle name="-2001" xfId="537"/>
    <cellStyle name="-2001 2" xfId="538"/>
    <cellStyle name="3" xfId="539"/>
    <cellStyle name="3 2" xfId="540"/>
    <cellStyle name="3 3" xfId="541"/>
    <cellStyle name="3 4" xfId="542"/>
    <cellStyle name="3_4 XA DE BAO NGOAI" xfId="6963"/>
    <cellStyle name="3_4 XA DE BAO NGOAI (Tien)" xfId="6964"/>
    <cellStyle name="3_Book1" xfId="543"/>
    <cellStyle name="3_Book1 2" xfId="544"/>
    <cellStyle name="3_Book1_1" xfId="545"/>
    <cellStyle name="3_Book1_1 2" xfId="546"/>
    <cellStyle name="3_Book1_1_!1 1 bao cao giao KH ve HTCMT vung TNB   12-12-2011" xfId="3862"/>
    <cellStyle name="3_Book1_1_Bieu4HTMT" xfId="3863"/>
    <cellStyle name="3_Book1_1_Bieu4HTMT_!1 1 bao cao giao KH ve HTCMT vung TNB   12-12-2011" xfId="3864"/>
    <cellStyle name="3_Book1_1_Bieu4HTMT_KH TPCP vung TNB (03-1-2012)" xfId="3865"/>
    <cellStyle name="3_Book1_1_KH TPCP vung TNB (03-1-2012)" xfId="3866"/>
    <cellStyle name="3_Cau thuy dien Ban La (Cu Anh)" xfId="547"/>
    <cellStyle name="3_Cau thuy dien Ban La (Cu Anh) 2" xfId="548"/>
    <cellStyle name="3_Cau thuy dien Ban La (Cu Anh)_!1 1 bao cao giao KH ve HTCMT vung TNB   12-12-2011" xfId="3867"/>
    <cellStyle name="3_Cau thuy dien Ban La (Cu Anh)_Bieu4HTMT" xfId="3868"/>
    <cellStyle name="3_Cau thuy dien Ban La (Cu Anh)_Bieu4HTMT_!1 1 bao cao giao KH ve HTCMT vung TNB   12-12-2011" xfId="3869"/>
    <cellStyle name="3_Cau thuy dien Ban La (Cu Anh)_Bieu4HTMT_KH TPCP vung TNB (03-1-2012)" xfId="3870"/>
    <cellStyle name="3_Cau thuy dien Ban La (Cu Anh)_KH TPCP vung TNB (03-1-2012)" xfId="3871"/>
    <cellStyle name="3_CONG 9 NHUONG" xfId="6965"/>
    <cellStyle name="3_Du toan 558 (Km17+508.12 - Km 22)" xfId="549"/>
    <cellStyle name="3_Du toan 558 (Km17+508.12 - Km 22) 2" xfId="550"/>
    <cellStyle name="3_Du toan 558 (Km17+508.12 - Km 22)_!1 1 bao cao giao KH ve HTCMT vung TNB   12-12-2011" xfId="3872"/>
    <cellStyle name="3_Du toan 558 (Km17+508.12 - Km 22)_Bieu4HTMT" xfId="3873"/>
    <cellStyle name="3_Du toan 558 (Km17+508.12 - Km 22)_Bieu4HTMT_!1 1 bao cao giao KH ve HTCMT vung TNB   12-12-2011" xfId="3874"/>
    <cellStyle name="3_Du toan 558 (Km17+508.12 - Km 22)_Bieu4HTMT_KH TPCP vung TNB (03-1-2012)" xfId="3875"/>
    <cellStyle name="3_Du toan 558 (Km17+508.12 - Km 22)_KH TPCP vung TNB (03-1-2012)" xfId="3876"/>
    <cellStyle name="3_GIA VAT LIEU DEN HIEN TRUONG" xfId="6966"/>
    <cellStyle name="3_Gia_VLQL48_duyet " xfId="551"/>
    <cellStyle name="3_Gia_VLQL48_duyet  2" xfId="552"/>
    <cellStyle name="3_Gia_VLQL48_duyet _!1 1 bao cao giao KH ve HTCMT vung TNB   12-12-2011" xfId="3877"/>
    <cellStyle name="3_Gia_VLQL48_duyet _Bieu4HTMT" xfId="3878"/>
    <cellStyle name="3_Gia_VLQL48_duyet _Bieu4HTMT_!1 1 bao cao giao KH ve HTCMT vung TNB   12-12-2011" xfId="3879"/>
    <cellStyle name="3_Gia_VLQL48_duyet _Bieu4HTMT_KH TPCP vung TNB (03-1-2012)" xfId="3880"/>
    <cellStyle name="3_Gia_VLQL48_duyet _KH TPCP vung TNB (03-1-2012)" xfId="3881"/>
    <cellStyle name="3_KlQdinhduyet" xfId="553"/>
    <cellStyle name="3_KlQdinhduyet 2" xfId="554"/>
    <cellStyle name="3_KlQdinhduyet_!1 1 bao cao giao KH ve HTCMT vung TNB   12-12-2011" xfId="3882"/>
    <cellStyle name="3_KlQdinhduyet_Bieu4HTMT" xfId="3883"/>
    <cellStyle name="3_KlQdinhduyet_Bieu4HTMT_!1 1 bao cao giao KH ve HTCMT vung TNB   12-12-2011" xfId="3884"/>
    <cellStyle name="3_KlQdinhduyet_Bieu4HTMT_KH TPCP vung TNB (03-1-2012)" xfId="3885"/>
    <cellStyle name="3_KlQdinhduyet_KH TPCP vung TNB (03-1-2012)" xfId="3886"/>
    <cellStyle name="3_THANDINH_NCBB SONG MAYPHOP(gia cat Vung Liem)" xfId="6967"/>
    <cellStyle name="3_ÿÿÿÿÿ" xfId="555"/>
    <cellStyle name="3_ÿÿÿÿÿ 2" xfId="556"/>
    <cellStyle name="³£¹æ_GZ TV" xfId="557"/>
    <cellStyle name="4" xfId="558"/>
    <cellStyle name="4 2" xfId="559"/>
    <cellStyle name="4 3" xfId="560"/>
    <cellStyle name="4 4" xfId="561"/>
    <cellStyle name="4_Book1" xfId="562"/>
    <cellStyle name="4_Book1 2" xfId="563"/>
    <cellStyle name="4_Book1_1" xfId="564"/>
    <cellStyle name="4_Book1_1 2" xfId="565"/>
    <cellStyle name="4_Book1_1_!1 1 bao cao giao KH ve HTCMT vung TNB   12-12-2011" xfId="3887"/>
    <cellStyle name="4_Book1_1_Bieu4HTMT" xfId="3888"/>
    <cellStyle name="4_Book1_1_Bieu4HTMT_!1 1 bao cao giao KH ve HTCMT vung TNB   12-12-2011" xfId="3889"/>
    <cellStyle name="4_Book1_1_Bieu4HTMT_KH TPCP vung TNB (03-1-2012)" xfId="3890"/>
    <cellStyle name="4_Book1_1_KH TPCP vung TNB (03-1-2012)" xfId="3891"/>
    <cellStyle name="4_Cau thuy dien Ban La (Cu Anh)" xfId="566"/>
    <cellStyle name="4_Cau thuy dien Ban La (Cu Anh) 2" xfId="567"/>
    <cellStyle name="4_Cau thuy dien Ban La (Cu Anh)_!1 1 bao cao giao KH ve HTCMT vung TNB   12-12-2011" xfId="3892"/>
    <cellStyle name="4_Cau thuy dien Ban La (Cu Anh)_Bieu4HTMT" xfId="3893"/>
    <cellStyle name="4_Cau thuy dien Ban La (Cu Anh)_Bieu4HTMT_!1 1 bao cao giao KH ve HTCMT vung TNB   12-12-2011" xfId="3894"/>
    <cellStyle name="4_Cau thuy dien Ban La (Cu Anh)_Bieu4HTMT_KH TPCP vung TNB (03-1-2012)" xfId="3895"/>
    <cellStyle name="4_Cau thuy dien Ban La (Cu Anh)_KH TPCP vung TNB (03-1-2012)" xfId="3896"/>
    <cellStyle name="4_Du toan 558 (Km17+508.12 - Km 22)" xfId="568"/>
    <cellStyle name="4_Du toan 558 (Km17+508.12 - Km 22) 2" xfId="569"/>
    <cellStyle name="4_Du toan 558 (Km17+508.12 - Km 22)_!1 1 bao cao giao KH ve HTCMT vung TNB   12-12-2011" xfId="3897"/>
    <cellStyle name="4_Du toan 558 (Km17+508.12 - Km 22)_Bieu4HTMT" xfId="3898"/>
    <cellStyle name="4_Du toan 558 (Km17+508.12 - Km 22)_Bieu4HTMT_!1 1 bao cao giao KH ve HTCMT vung TNB   12-12-2011" xfId="3899"/>
    <cellStyle name="4_Du toan 558 (Km17+508.12 - Km 22)_Bieu4HTMT_KH TPCP vung TNB (03-1-2012)" xfId="3900"/>
    <cellStyle name="4_Du toan 558 (Km17+508.12 - Km 22)_KH TPCP vung TNB (03-1-2012)" xfId="3901"/>
    <cellStyle name="4_Gia_VLQL48_duyet " xfId="570"/>
    <cellStyle name="4_Gia_VLQL48_duyet  2" xfId="571"/>
    <cellStyle name="4_Gia_VLQL48_duyet _!1 1 bao cao giao KH ve HTCMT vung TNB   12-12-2011" xfId="3902"/>
    <cellStyle name="4_Gia_VLQL48_duyet _Bieu4HTMT" xfId="3903"/>
    <cellStyle name="4_Gia_VLQL48_duyet _Bieu4HTMT_!1 1 bao cao giao KH ve HTCMT vung TNB   12-12-2011" xfId="3904"/>
    <cellStyle name="4_Gia_VLQL48_duyet _Bieu4HTMT_KH TPCP vung TNB (03-1-2012)" xfId="3905"/>
    <cellStyle name="4_Gia_VLQL48_duyet _KH TPCP vung TNB (03-1-2012)" xfId="3906"/>
    <cellStyle name="4_KlQdinhduyet" xfId="572"/>
    <cellStyle name="4_KlQdinhduyet 2" xfId="573"/>
    <cellStyle name="4_KlQdinhduyet_!1 1 bao cao giao KH ve HTCMT vung TNB   12-12-2011" xfId="3907"/>
    <cellStyle name="4_KlQdinhduyet_Bieu4HTMT" xfId="3908"/>
    <cellStyle name="4_KlQdinhduyet_Bieu4HTMT_!1 1 bao cao giao KH ve HTCMT vung TNB   12-12-2011" xfId="3909"/>
    <cellStyle name="4_KlQdinhduyet_Bieu4HTMT_KH TPCP vung TNB (03-1-2012)" xfId="3910"/>
    <cellStyle name="4_KlQdinhduyet_KH TPCP vung TNB (03-1-2012)" xfId="3911"/>
    <cellStyle name="4_ÿÿÿÿÿ" xfId="574"/>
    <cellStyle name="4_ÿÿÿÿÿ 2" xfId="575"/>
    <cellStyle name="40% - Accent1 2" xfId="576"/>
    <cellStyle name="40% - Accent1 2 2" xfId="2430"/>
    <cellStyle name="40% - Accent1 2 3" xfId="2401"/>
    <cellStyle name="40% - Accent1 3" xfId="577"/>
    <cellStyle name="40% - Accent1 4" xfId="578"/>
    <cellStyle name="40% - Accent2 2" xfId="579"/>
    <cellStyle name="40% - Accent2 2 2" xfId="2350"/>
    <cellStyle name="40% - Accent2 2 3" xfId="2376"/>
    <cellStyle name="40% - Accent2 3" xfId="580"/>
    <cellStyle name="40% - Accent2 4" xfId="581"/>
    <cellStyle name="40% - Accent3 2" xfId="582"/>
    <cellStyle name="40% - Accent3 2 2" xfId="2348"/>
    <cellStyle name="40% - Accent3 2 3" xfId="2403"/>
    <cellStyle name="40% - Accent3 3" xfId="583"/>
    <cellStyle name="40% - Accent3 4" xfId="584"/>
    <cellStyle name="40% - Accent4 2" xfId="585"/>
    <cellStyle name="40% - Accent4 2 2" xfId="2347"/>
    <cellStyle name="40% - Accent4 2 3" xfId="2399"/>
    <cellStyle name="40% - Accent4 3" xfId="586"/>
    <cellStyle name="40% - Accent4 4" xfId="587"/>
    <cellStyle name="40% - Accent5 2" xfId="588"/>
    <cellStyle name="40% - Accent5 2 2" xfId="2346"/>
    <cellStyle name="40% - Accent5 2 3" xfId="2381"/>
    <cellStyle name="40% - Accent5 3" xfId="589"/>
    <cellStyle name="40% - Accent5 4" xfId="590"/>
    <cellStyle name="40% - Accent6 2" xfId="591"/>
    <cellStyle name="40% - Accent6 2 2" xfId="2345"/>
    <cellStyle name="40% - Accent6 2 3" xfId="2385"/>
    <cellStyle name="40% - Accent6 3" xfId="592"/>
    <cellStyle name="40% - Accent6 4" xfId="593"/>
    <cellStyle name="40% - Nhấn1" xfId="6968"/>
    <cellStyle name="40% - Nhấn2" xfId="6969"/>
    <cellStyle name="40% - Nhấn3" xfId="6970"/>
    <cellStyle name="40% - Nhấn4" xfId="6971"/>
    <cellStyle name="40% - Nhấn5" xfId="6972"/>
    <cellStyle name="40% - Nhấn6" xfId="6973"/>
    <cellStyle name="52" xfId="3912"/>
    <cellStyle name="6" xfId="594"/>
    <cellStyle name="6 2" xfId="595"/>
    <cellStyle name="6 3" xfId="596"/>
    <cellStyle name="6 4" xfId="597"/>
    <cellStyle name="6???_x0002_¯ög6hÅ‡6???_x0002_¹?ß_x0008_,Ñ‡6???_x0002_…#×&gt;Ò ‡6???_x0002_é_x0007_ß_x0008__x001c__x000b__x001e_?????_x000a_?_x0001_???????_x0014_?_x0001_???????_x001e_?fB_x000f_c????_x0018_I¿_x0008_v_x0010_‡6Ö_x0002_Ÿ6????ía??_x0012_c??????????????_x0001_?????????_x0001_?_x0001_?_x0001_?" xfId="6974"/>
    <cellStyle name="6???_x0002_¯ög6hÅ‡6???_x0002_¹?ß_x0008_,Ñ‡6???_x0002_…#×&gt;Ò ‡6???_x0002_é_x0007_ß_x0008__x001c__x000b__x001e_?????_x000a_?_x0001_???????_x0014_?_x0001_???????_x001e_?fB_x000f_c????_x0018_I¿_x0008_v_x0010_‡6Ö_x0002_Ÿ6????_x0015_l??Õm??????????????_x0001_?????????_x0001_?_x0001_?_x0001_?" xfId="6975"/>
    <cellStyle name="6_15_10_2013 BC nhu cau von doi ung ODA (2014-2016) ngay 15102013 Sua" xfId="3913"/>
    <cellStyle name="6_4 XA DE BAO NGOAI" xfId="6976"/>
    <cellStyle name="6_4 XA DE BAO NGOAI (Tien)" xfId="6977"/>
    <cellStyle name="6_BC nhu cau von doi ung ODA nganh NN (BKH)" xfId="3914"/>
    <cellStyle name="6_BC nhu cau von doi ung ODA nganh NN (BKH)_05-12  KH trung han 2016-2020 - Liem Thinh edited" xfId="3915"/>
    <cellStyle name="6_BC nhu cau von doi ung ODA nganh NN (BKH)_Copy of 05-12  KH trung han 2016-2020 - Liem Thinh edited (1)" xfId="3916"/>
    <cellStyle name="6_BC Tai co cau (bieu TH)" xfId="3917"/>
    <cellStyle name="6_BC Tai co cau (bieu TH)_05-12  KH trung han 2016-2020 - Liem Thinh edited" xfId="3918"/>
    <cellStyle name="6_BC Tai co cau (bieu TH)_Copy of 05-12  KH trung han 2016-2020 - Liem Thinh edited (1)" xfId="3919"/>
    <cellStyle name="6_CONG 9 NHUONG" xfId="6978"/>
    <cellStyle name="6_Cong trinh co y kien LD_Dang_NN_2011-Tay nguyen-9-10" xfId="3920"/>
    <cellStyle name="6_Cong trinh co y kien LD_Dang_NN_2011-Tay nguyen-9-10_!1 1 bao cao giao KH ve HTCMT vung TNB   12-12-2011" xfId="3921"/>
    <cellStyle name="6_Cong trinh co y kien LD_Dang_NN_2011-Tay nguyen-9-10_Bieu4HTMT" xfId="3922"/>
    <cellStyle name="6_Cong trinh co y kien LD_Dang_NN_2011-Tay nguyen-9-10_Bieu4HTMT_!1 1 bao cao giao KH ve HTCMT vung TNB   12-12-2011" xfId="3923"/>
    <cellStyle name="6_Cong trinh co y kien LD_Dang_NN_2011-Tay nguyen-9-10_Bieu4HTMT_KH TPCP vung TNB (03-1-2012)" xfId="3924"/>
    <cellStyle name="6_Cong trinh co y kien LD_Dang_NN_2011-Tay nguyen-9-10_KH TPCP vung TNB (03-1-2012)" xfId="3925"/>
    <cellStyle name="6_DK 2014-2015 final" xfId="3926"/>
    <cellStyle name="6_DK 2014-2015 final_05-12  KH trung han 2016-2020 - Liem Thinh edited" xfId="3927"/>
    <cellStyle name="6_DK 2014-2015 final_Copy of 05-12  KH trung han 2016-2020 - Liem Thinh edited (1)" xfId="3928"/>
    <cellStyle name="6_DK 2014-2015 new" xfId="3929"/>
    <cellStyle name="6_DK 2014-2015 new_05-12  KH trung han 2016-2020 - Liem Thinh edited" xfId="3930"/>
    <cellStyle name="6_DK 2014-2015 new_Copy of 05-12  KH trung han 2016-2020 - Liem Thinh edited (1)" xfId="3931"/>
    <cellStyle name="6_DK KH CBDT 2014 11-11-2013" xfId="3932"/>
    <cellStyle name="6_DK KH CBDT 2014 11-11-2013(1)" xfId="3933"/>
    <cellStyle name="6_DK KH CBDT 2014 11-11-2013(1)_05-12  KH trung han 2016-2020 - Liem Thinh edited" xfId="3934"/>
    <cellStyle name="6_DK KH CBDT 2014 11-11-2013(1)_Copy of 05-12  KH trung han 2016-2020 - Liem Thinh edited (1)" xfId="3935"/>
    <cellStyle name="6_DK KH CBDT 2014 11-11-2013_05-12  KH trung han 2016-2020 - Liem Thinh edited" xfId="3936"/>
    <cellStyle name="6_DK KH CBDT 2014 11-11-2013_Copy of 05-12  KH trung han 2016-2020 - Liem Thinh edited (1)" xfId="3937"/>
    <cellStyle name="6_GIA VAT LIEU DEN HIEN TRUONG" xfId="6979"/>
    <cellStyle name="6_GiaM 062005" xfId="6980"/>
    <cellStyle name="6_KH 2011-2015" xfId="3938"/>
    <cellStyle name="6_tai co cau dau tu (tong hop)1" xfId="3939"/>
    <cellStyle name="6_THANDINH_NCBB SONG MAYPHOP(gia cat Vung Liem)" xfId="6981"/>
    <cellStyle name="6_TN - Ho tro khac 2011" xfId="3940"/>
    <cellStyle name="6_TN - Ho tro khac 2011_!1 1 bao cao giao KH ve HTCMT vung TNB   12-12-2011" xfId="3941"/>
    <cellStyle name="6_TN - Ho tro khac 2011_Bieu4HTMT" xfId="3942"/>
    <cellStyle name="6_TN - Ho tro khac 2011_Bieu4HTMT_!1 1 bao cao giao KH ve HTCMT vung TNB   12-12-2011" xfId="3943"/>
    <cellStyle name="6_TN - Ho tro khac 2011_Bieu4HTMT_KH TPCP vung TNB (03-1-2012)" xfId="3944"/>
    <cellStyle name="6_TN - Ho tro khac 2011_KH TPCP vung TNB (03-1-2012)" xfId="3945"/>
    <cellStyle name="60% - Accent1 2" xfId="598"/>
    <cellStyle name="60% - Accent1 2 2" xfId="2344"/>
    <cellStyle name="60% - Accent1 2 3" xfId="2400"/>
    <cellStyle name="60% - Accent1 3" xfId="599"/>
    <cellStyle name="60% - Accent1 4" xfId="600"/>
    <cellStyle name="60% - Accent2 2" xfId="601"/>
    <cellStyle name="60% - Accent2 2 2" xfId="2343"/>
    <cellStyle name="60% - Accent2 2 3" xfId="2405"/>
    <cellStyle name="60% - Accent2 3" xfId="602"/>
    <cellStyle name="60% - Accent2 4" xfId="603"/>
    <cellStyle name="60% - Accent3 2" xfId="604"/>
    <cellStyle name="60% - Accent3 2 2" xfId="2425"/>
    <cellStyle name="60% - Accent3 2 3" xfId="2414"/>
    <cellStyle name="60% - Accent3 3" xfId="605"/>
    <cellStyle name="60% - Accent3 4" xfId="606"/>
    <cellStyle name="60% - Accent4 2" xfId="607"/>
    <cellStyle name="60% - Accent4 2 2" xfId="2342"/>
    <cellStyle name="60% - Accent4 2 3" xfId="2378"/>
    <cellStyle name="60% - Accent4 3" xfId="608"/>
    <cellStyle name="60% - Accent4 4" xfId="609"/>
    <cellStyle name="60% - Accent5 2" xfId="610"/>
    <cellStyle name="60% - Accent5 2 2" xfId="2341"/>
    <cellStyle name="60% - Accent5 2 3" xfId="2408"/>
    <cellStyle name="60% - Accent5 3" xfId="611"/>
    <cellStyle name="60% - Accent5 4" xfId="612"/>
    <cellStyle name="60% - Accent6 2" xfId="613"/>
    <cellStyle name="60% - Accent6 2 2" xfId="2340"/>
    <cellStyle name="60% - Accent6 2 3" xfId="2394"/>
    <cellStyle name="60% - Accent6 3" xfId="614"/>
    <cellStyle name="60% - Accent6 4" xfId="615"/>
    <cellStyle name="60% - Nhấn1" xfId="6982"/>
    <cellStyle name="60% - Nhấn2" xfId="6983"/>
    <cellStyle name="60% - Nhấn3" xfId="6984"/>
    <cellStyle name="60% - Nhấn4" xfId="6985"/>
    <cellStyle name="60% - Nhấn5" xfId="6986"/>
    <cellStyle name="60% - Nhấn6" xfId="6987"/>
    <cellStyle name="9" xfId="616"/>
    <cellStyle name="9 2" xfId="617"/>
    <cellStyle name="9_!1 1 bao cao giao KH ve HTCMT vung TNB   12-12-2011" xfId="3946"/>
    <cellStyle name="9_Bieu4HTMT" xfId="3947"/>
    <cellStyle name="9_Bieu4HTMT_!1 1 bao cao giao KH ve HTCMT vung TNB   12-12-2011" xfId="3948"/>
    <cellStyle name="9_Bieu4HTMT_KH TPCP vung TNB (03-1-2012)" xfId="3949"/>
    <cellStyle name="9_KH TPCP vung TNB (03-1-2012)" xfId="3950"/>
    <cellStyle name="a" xfId="6988"/>
    <cellStyle name="Accent1 2" xfId="618"/>
    <cellStyle name="Accent1 2 2" xfId="2339"/>
    <cellStyle name="Accent1 2 3" xfId="2406"/>
    <cellStyle name="Accent1 3" xfId="619"/>
    <cellStyle name="Accent1 4" xfId="620"/>
    <cellStyle name="Accent2 2" xfId="621"/>
    <cellStyle name="Accent2 2 2" xfId="2338"/>
    <cellStyle name="Accent2 2 3" xfId="2398"/>
    <cellStyle name="Accent2 3" xfId="622"/>
    <cellStyle name="Accent2 4" xfId="623"/>
    <cellStyle name="Accent3 2" xfId="624"/>
    <cellStyle name="Accent3 2 2" xfId="2337"/>
    <cellStyle name="Accent3 2 3" xfId="2393"/>
    <cellStyle name="Accent3 3" xfId="625"/>
    <cellStyle name="Accent3 4" xfId="626"/>
    <cellStyle name="Accent4 2" xfId="627"/>
    <cellStyle name="Accent4 2 2" xfId="2424"/>
    <cellStyle name="Accent4 2 3" xfId="2407"/>
    <cellStyle name="Accent4 3" xfId="628"/>
    <cellStyle name="Accent4 4" xfId="629"/>
    <cellStyle name="Accent5 2" xfId="630"/>
    <cellStyle name="Accent5 2 2" xfId="2336"/>
    <cellStyle name="Accent5 2 3" xfId="2392"/>
    <cellStyle name="Accent5 3" xfId="631"/>
    <cellStyle name="Accent5 4" xfId="632"/>
    <cellStyle name="Accent6 2" xfId="633"/>
    <cellStyle name="Accent6 2 2" xfId="2335"/>
    <cellStyle name="Accent6 2 3" xfId="2372"/>
    <cellStyle name="Accent6 3" xfId="634"/>
    <cellStyle name="Accent6 4" xfId="635"/>
    <cellStyle name="ÅëÈ­ [0]" xfId="6989"/>
    <cellStyle name="AeE­ [0]_INQUIRY ¿?¾÷AßAø " xfId="636"/>
    <cellStyle name="ÅëÈ­ [0]_L601CPT" xfId="637"/>
    <cellStyle name="ÅëÈ­_      " xfId="638"/>
    <cellStyle name="AeE­_INQUIRY ¿?¾÷AßAø " xfId="639"/>
    <cellStyle name="ÅëÈ­_L601CPT" xfId="640"/>
    <cellStyle name="Al" xfId="6990"/>
    <cellStyle name="args.style" xfId="641"/>
    <cellStyle name="args.style 2" xfId="3951"/>
    <cellStyle name="at" xfId="642"/>
    <cellStyle name="at 2" xfId="643"/>
    <cellStyle name="ÄÞ¸¶ [0]" xfId="6991"/>
    <cellStyle name="AÞ¸¶ [0]_INQUIRY ¿?¾÷AßAø " xfId="644"/>
    <cellStyle name="ÄÞ¸¶ [0]_L601CPT" xfId="6992"/>
    <cellStyle name="ÄÞ¸¶_      " xfId="645"/>
    <cellStyle name="AÞ¸¶_INQUIRY ¿?¾÷AßAø " xfId="646"/>
    <cellStyle name="ÄÞ¸¶_L601CPT" xfId="6993"/>
    <cellStyle name="AutoFormat Options" xfId="647"/>
    <cellStyle name="AutoFormat Options 2" xfId="3952"/>
    <cellStyle name="Bad 2" xfId="648"/>
    <cellStyle name="Bad 2 2" xfId="2334"/>
    <cellStyle name="Bad 2 3" xfId="2391"/>
    <cellStyle name="Bad 3" xfId="649"/>
    <cellStyle name="Bad 4" xfId="650"/>
    <cellStyle name="BILL제목" xfId="6994"/>
    <cellStyle name="Body" xfId="651"/>
    <cellStyle name="Body 2" xfId="652"/>
    <cellStyle name="C?AØ_¿?¾÷CoE² " xfId="653"/>
    <cellStyle name="C~1" xfId="654"/>
    <cellStyle name="C~1 2" xfId="655"/>
    <cellStyle name="Ç¥ÁØ_      " xfId="656"/>
    <cellStyle name="C￥AØ_¿μ¾÷CoE² " xfId="657"/>
    <cellStyle name="Ç¥ÁØ_±¸¹Ì´ëÃ¥" xfId="658"/>
    <cellStyle name="C￥AØ_Sheet1_¿μ¾÷CoE² " xfId="659"/>
    <cellStyle name="Ç¥ÁØ_ÿÿÿÿÿÿ_4_ÃÑÇÕ°è " xfId="3953"/>
    <cellStyle name="Ç§Î»·Ö¸ô[0]_Sheet1" xfId="660"/>
    <cellStyle name="Ç§Î»·Ö¸ô_Sheet1" xfId="661"/>
    <cellStyle name="Calc Currency (0)" xfId="662"/>
    <cellStyle name="Calc Currency (0) 2" xfId="663"/>
    <cellStyle name="Calc Currency (0) 3" xfId="664"/>
    <cellStyle name="Calc Currency (0) 4" xfId="665"/>
    <cellStyle name="Calc Currency (2)" xfId="666"/>
    <cellStyle name="Calc Currency (2) 10" xfId="3954"/>
    <cellStyle name="Calc Currency (2) 11" xfId="3955"/>
    <cellStyle name="Calc Currency (2) 12" xfId="3956"/>
    <cellStyle name="Calc Currency (2) 13" xfId="3957"/>
    <cellStyle name="Calc Currency (2) 14" xfId="3958"/>
    <cellStyle name="Calc Currency (2) 15" xfId="3959"/>
    <cellStyle name="Calc Currency (2) 16" xfId="3960"/>
    <cellStyle name="Calc Currency (2) 2" xfId="667"/>
    <cellStyle name="Calc Currency (2) 3" xfId="3961"/>
    <cellStyle name="Calc Currency (2) 4" xfId="3962"/>
    <cellStyle name="Calc Currency (2) 5" xfId="3963"/>
    <cellStyle name="Calc Currency (2) 6" xfId="3964"/>
    <cellStyle name="Calc Currency (2) 7" xfId="3965"/>
    <cellStyle name="Calc Currency (2) 8" xfId="3966"/>
    <cellStyle name="Calc Currency (2) 9" xfId="3967"/>
    <cellStyle name="Calc Percent (0)" xfId="668"/>
    <cellStyle name="Calc Percent (0) 10" xfId="3968"/>
    <cellStyle name="Calc Percent (0) 11" xfId="3969"/>
    <cellStyle name="Calc Percent (0) 12" xfId="3970"/>
    <cellStyle name="Calc Percent (0) 13" xfId="3971"/>
    <cellStyle name="Calc Percent (0) 14" xfId="3972"/>
    <cellStyle name="Calc Percent (0) 15" xfId="3973"/>
    <cellStyle name="Calc Percent (0) 16" xfId="3974"/>
    <cellStyle name="Calc Percent (0) 2" xfId="3975"/>
    <cellStyle name="Calc Percent (0) 3" xfId="3976"/>
    <cellStyle name="Calc Percent (0) 4" xfId="3977"/>
    <cellStyle name="Calc Percent (0) 5" xfId="3978"/>
    <cellStyle name="Calc Percent (0) 6" xfId="3979"/>
    <cellStyle name="Calc Percent (0) 7" xfId="3980"/>
    <cellStyle name="Calc Percent (0) 8" xfId="3981"/>
    <cellStyle name="Calc Percent (0) 9" xfId="3982"/>
    <cellStyle name="Calc Percent (1)" xfId="669"/>
    <cellStyle name="Calc Percent (1) 10" xfId="3983"/>
    <cellStyle name="Calc Percent (1) 11" xfId="3984"/>
    <cellStyle name="Calc Percent (1) 12" xfId="3985"/>
    <cellStyle name="Calc Percent (1) 13" xfId="3986"/>
    <cellStyle name="Calc Percent (1) 14" xfId="3987"/>
    <cellStyle name="Calc Percent (1) 15" xfId="3988"/>
    <cellStyle name="Calc Percent (1) 16" xfId="3989"/>
    <cellStyle name="Calc Percent (1) 2" xfId="3990"/>
    <cellStyle name="Calc Percent (1) 3" xfId="3991"/>
    <cellStyle name="Calc Percent (1) 4" xfId="3992"/>
    <cellStyle name="Calc Percent (1) 5" xfId="3993"/>
    <cellStyle name="Calc Percent (1) 6" xfId="3994"/>
    <cellStyle name="Calc Percent (1) 7" xfId="3995"/>
    <cellStyle name="Calc Percent (1) 8" xfId="3996"/>
    <cellStyle name="Calc Percent (1) 9" xfId="3997"/>
    <cellStyle name="Calc Percent (2)" xfId="670"/>
    <cellStyle name="Calc Percent (2) 10" xfId="3998"/>
    <cellStyle name="Calc Percent (2) 11" xfId="3999"/>
    <cellStyle name="Calc Percent (2) 12" xfId="4000"/>
    <cellStyle name="Calc Percent (2) 13" xfId="4001"/>
    <cellStyle name="Calc Percent (2) 14" xfId="4002"/>
    <cellStyle name="Calc Percent (2) 15" xfId="4003"/>
    <cellStyle name="Calc Percent (2) 16" xfId="4004"/>
    <cellStyle name="Calc Percent (2) 2" xfId="671"/>
    <cellStyle name="Calc Percent (2) 3" xfId="4005"/>
    <cellStyle name="Calc Percent (2) 4" xfId="4006"/>
    <cellStyle name="Calc Percent (2) 5" xfId="4007"/>
    <cellStyle name="Calc Percent (2) 6" xfId="4008"/>
    <cellStyle name="Calc Percent (2) 7" xfId="4009"/>
    <cellStyle name="Calc Percent (2) 8" xfId="4010"/>
    <cellStyle name="Calc Percent (2) 9" xfId="4011"/>
    <cellStyle name="Calc Units (0)" xfId="672"/>
    <cellStyle name="Calc Units (0) 10" xfId="4012"/>
    <cellStyle name="Calc Units (0) 11" xfId="4013"/>
    <cellStyle name="Calc Units (0) 12" xfId="4014"/>
    <cellStyle name="Calc Units (0) 13" xfId="4015"/>
    <cellStyle name="Calc Units (0) 14" xfId="4016"/>
    <cellStyle name="Calc Units (0) 15" xfId="4017"/>
    <cellStyle name="Calc Units (0) 16" xfId="4018"/>
    <cellStyle name="Calc Units (0) 2" xfId="673"/>
    <cellStyle name="Calc Units (0) 3" xfId="4019"/>
    <cellStyle name="Calc Units (0) 4" xfId="4020"/>
    <cellStyle name="Calc Units (0) 5" xfId="4021"/>
    <cellStyle name="Calc Units (0) 6" xfId="4022"/>
    <cellStyle name="Calc Units (0) 7" xfId="4023"/>
    <cellStyle name="Calc Units (0) 8" xfId="4024"/>
    <cellStyle name="Calc Units (0) 9" xfId="4025"/>
    <cellStyle name="Calc Units (1)" xfId="674"/>
    <cellStyle name="Calc Units (1) 10" xfId="4026"/>
    <cellStyle name="Calc Units (1) 11" xfId="4027"/>
    <cellStyle name="Calc Units (1) 12" xfId="4028"/>
    <cellStyle name="Calc Units (1) 13" xfId="4029"/>
    <cellStyle name="Calc Units (1) 14" xfId="4030"/>
    <cellStyle name="Calc Units (1) 15" xfId="4031"/>
    <cellStyle name="Calc Units (1) 16" xfId="4032"/>
    <cellStyle name="Calc Units (1) 2" xfId="675"/>
    <cellStyle name="Calc Units (1) 3" xfId="4033"/>
    <cellStyle name="Calc Units (1) 4" xfId="4034"/>
    <cellStyle name="Calc Units (1) 5" xfId="4035"/>
    <cellStyle name="Calc Units (1) 6" xfId="4036"/>
    <cellStyle name="Calc Units (1) 7" xfId="4037"/>
    <cellStyle name="Calc Units (1) 8" xfId="4038"/>
    <cellStyle name="Calc Units (1) 9" xfId="4039"/>
    <cellStyle name="Calc Units (2)" xfId="676"/>
    <cellStyle name="Calc Units (2) 10" xfId="4040"/>
    <cellStyle name="Calc Units (2) 11" xfId="4041"/>
    <cellStyle name="Calc Units (2) 12" xfId="4042"/>
    <cellStyle name="Calc Units (2) 13" xfId="4043"/>
    <cellStyle name="Calc Units (2) 14" xfId="4044"/>
    <cellStyle name="Calc Units (2) 15" xfId="4045"/>
    <cellStyle name="Calc Units (2) 16" xfId="4046"/>
    <cellStyle name="Calc Units (2) 2" xfId="677"/>
    <cellStyle name="Calc Units (2) 3" xfId="4047"/>
    <cellStyle name="Calc Units (2) 4" xfId="4048"/>
    <cellStyle name="Calc Units (2) 5" xfId="4049"/>
    <cellStyle name="Calc Units (2) 6" xfId="4050"/>
    <cellStyle name="Calc Units (2) 7" xfId="4051"/>
    <cellStyle name="Calc Units (2) 8" xfId="4052"/>
    <cellStyle name="Calc Units (2) 9" xfId="4053"/>
    <cellStyle name="Calculation 2" xfId="678"/>
    <cellStyle name="Calculation 2 2" xfId="2333"/>
    <cellStyle name="Calculation 2 3" xfId="2386"/>
    <cellStyle name="Calculation 3" xfId="679"/>
    <cellStyle name="Calculation 4" xfId="680"/>
    <cellStyle name="category" xfId="681"/>
    <cellStyle name="category 2" xfId="682"/>
    <cellStyle name="category 3" xfId="683"/>
    <cellStyle name="category 4" xfId="684"/>
    <cellStyle name="CC1" xfId="6995"/>
    <cellStyle name="CC2" xfId="6996"/>
    <cellStyle name="Centered Heading" xfId="4054"/>
    <cellStyle name="Cerrency_Sheet2_XANGDAU" xfId="685"/>
    <cellStyle name="Check Cell 2" xfId="796"/>
    <cellStyle name="Check Cell 2 2" xfId="2330"/>
    <cellStyle name="Check Cell 2 3" xfId="2402"/>
    <cellStyle name="Check Cell 3" xfId="797"/>
    <cellStyle name="Check Cell 4" xfId="798"/>
    <cellStyle name="Chi phÝ kh¸c_Book1" xfId="799"/>
    <cellStyle name="CHUONG" xfId="800"/>
    <cellStyle name="CHUONG 2" xfId="801"/>
    <cellStyle name="Column_Title" xfId="4055"/>
    <cellStyle name="Comma" xfId="1" builtinId="3"/>
    <cellStyle name="Comma  - Style1" xfId="686"/>
    <cellStyle name="Comma  - Style1 2" xfId="687"/>
    <cellStyle name="Comma  - Style2" xfId="688"/>
    <cellStyle name="Comma  - Style2 2" xfId="689"/>
    <cellStyle name="Comma  - Style3" xfId="690"/>
    <cellStyle name="Comma  - Style3 2" xfId="691"/>
    <cellStyle name="Comma  - Style4" xfId="692"/>
    <cellStyle name="Comma  - Style4 2" xfId="693"/>
    <cellStyle name="Comma  - Style5" xfId="694"/>
    <cellStyle name="Comma  - Style5 2" xfId="695"/>
    <cellStyle name="Comma  - Style6" xfId="696"/>
    <cellStyle name="Comma  - Style6 2" xfId="697"/>
    <cellStyle name="Comma  - Style7" xfId="698"/>
    <cellStyle name="Comma  - Style7 2" xfId="699"/>
    <cellStyle name="Comma  - Style8" xfId="700"/>
    <cellStyle name="Comma  - Style8 2" xfId="701"/>
    <cellStyle name="Comma %" xfId="4056"/>
    <cellStyle name="Comma % 10" xfId="4057"/>
    <cellStyle name="Comma % 11" xfId="4058"/>
    <cellStyle name="Comma % 12" xfId="4059"/>
    <cellStyle name="Comma % 13" xfId="4060"/>
    <cellStyle name="Comma % 14" xfId="4061"/>
    <cellStyle name="Comma % 15" xfId="4062"/>
    <cellStyle name="Comma % 2" xfId="4063"/>
    <cellStyle name="Comma % 3" xfId="4064"/>
    <cellStyle name="Comma % 4" xfId="4065"/>
    <cellStyle name="Comma % 5" xfId="4066"/>
    <cellStyle name="Comma % 6" xfId="4067"/>
    <cellStyle name="Comma % 7" xfId="4068"/>
    <cellStyle name="Comma % 8" xfId="4069"/>
    <cellStyle name="Comma % 9" xfId="4070"/>
    <cellStyle name="Comma [0] 10" xfId="4071"/>
    <cellStyle name="Comma [0] 11" xfId="4072"/>
    <cellStyle name="Comma [0] 2" xfId="4073"/>
    <cellStyle name="Comma [0] 2 10" xfId="4074"/>
    <cellStyle name="Comma [0] 2 11" xfId="4075"/>
    <cellStyle name="Comma [0] 2 12" xfId="4076"/>
    <cellStyle name="Comma [0] 2 13" xfId="4077"/>
    <cellStyle name="Comma [0] 2 14" xfId="4078"/>
    <cellStyle name="Comma [0] 2 15" xfId="4079"/>
    <cellStyle name="Comma [0] 2 16" xfId="4080"/>
    <cellStyle name="Comma [0] 2 17" xfId="4081"/>
    <cellStyle name="Comma [0] 2 18" xfId="4082"/>
    <cellStyle name="Comma [0] 2 19" xfId="4083"/>
    <cellStyle name="Comma [0] 2 2" xfId="4084"/>
    <cellStyle name="Comma [0] 2 2 2" xfId="4085"/>
    <cellStyle name="Comma [0] 2 20" xfId="4086"/>
    <cellStyle name="Comma [0] 2 21" xfId="4087"/>
    <cellStyle name="Comma [0] 2 22" xfId="4088"/>
    <cellStyle name="Comma [0] 2 23" xfId="4089"/>
    <cellStyle name="Comma [0] 2 24" xfId="4090"/>
    <cellStyle name="Comma [0] 2 25" xfId="4091"/>
    <cellStyle name="Comma [0] 2 26" xfId="4092"/>
    <cellStyle name="Comma [0] 2 3" xfId="4093"/>
    <cellStyle name="Comma [0] 2 4" xfId="4094"/>
    <cellStyle name="Comma [0] 2 5" xfId="4095"/>
    <cellStyle name="Comma [0] 2 6" xfId="4096"/>
    <cellStyle name="Comma [0] 2 7" xfId="4097"/>
    <cellStyle name="Comma [0] 2 8" xfId="4098"/>
    <cellStyle name="Comma [0] 2 9" xfId="4099"/>
    <cellStyle name="Comma [0] 2_05-12  KH trung han 2016-2020 - Liem Thinh edited" xfId="4100"/>
    <cellStyle name="Comma [0] 3" xfId="4101"/>
    <cellStyle name="Comma [0] 3 2" xfId="4102"/>
    <cellStyle name="Comma [0] 3 3" xfId="4103"/>
    <cellStyle name="Comma [0] 4" xfId="4104"/>
    <cellStyle name="Comma [0] 5" xfId="4105"/>
    <cellStyle name="Comma [0] 6" xfId="4106"/>
    <cellStyle name="Comma [0] 7" xfId="4107"/>
    <cellStyle name="Comma [0] 8" xfId="4108"/>
    <cellStyle name="Comma [0] 9" xfId="4109"/>
    <cellStyle name="Comma [00]" xfId="702"/>
    <cellStyle name="Comma [00] 10" xfId="4110"/>
    <cellStyle name="Comma [00] 11" xfId="4111"/>
    <cellStyle name="Comma [00] 12" xfId="4112"/>
    <cellStyle name="Comma [00] 13" xfId="4113"/>
    <cellStyle name="Comma [00] 14" xfId="4114"/>
    <cellStyle name="Comma [00] 15" xfId="4115"/>
    <cellStyle name="Comma [00] 16" xfId="4116"/>
    <cellStyle name="Comma [00] 2" xfId="703"/>
    <cellStyle name="Comma [00] 3" xfId="4117"/>
    <cellStyle name="Comma [00] 4" xfId="4118"/>
    <cellStyle name="Comma [00] 5" xfId="4119"/>
    <cellStyle name="Comma [00] 6" xfId="4120"/>
    <cellStyle name="Comma [00] 7" xfId="4121"/>
    <cellStyle name="Comma [00] 8" xfId="4122"/>
    <cellStyle name="Comma [00] 9" xfId="4123"/>
    <cellStyle name="Comma 0.0" xfId="4124"/>
    <cellStyle name="Comma 0.0%" xfId="4125"/>
    <cellStyle name="Comma 0.00" xfId="4126"/>
    <cellStyle name="Comma 0.00%" xfId="4127"/>
    <cellStyle name="Comma 0.000" xfId="4128"/>
    <cellStyle name="Comma 0.000%" xfId="4129"/>
    <cellStyle name="Comma 10" xfId="72"/>
    <cellStyle name="Comma 10 10" xfId="10"/>
    <cellStyle name="Comma 10 10 10" xfId="11"/>
    <cellStyle name="Comma 10 10 2" xfId="704"/>
    <cellStyle name="Comma 10 10 2 2" xfId="705"/>
    <cellStyle name="Comma 10 10 3" xfId="706"/>
    <cellStyle name="Comma 10 2" xfId="77"/>
    <cellStyle name="Comma 10 2 2" xfId="4130"/>
    <cellStyle name="Comma 10 3" xfId="2284"/>
    <cellStyle name="Comma 10 3 2" xfId="4131"/>
    <cellStyle name="Comma 10 3 3 2" xfId="4132"/>
    <cellStyle name="Comma 10 4" xfId="2666"/>
    <cellStyle name="Comma 10 4 2" xfId="2725"/>
    <cellStyle name="Comma 11" xfId="707"/>
    <cellStyle name="Comma 11 2" xfId="2304"/>
    <cellStyle name="Comma 11 3" xfId="2667"/>
    <cellStyle name="Comma 11 3 2" xfId="2726"/>
    <cellStyle name="Comma 11 3 3" xfId="4133"/>
    <cellStyle name="Comma 12" xfId="708"/>
    <cellStyle name="Comma 12 2" xfId="12"/>
    <cellStyle name="Comma 12 3" xfId="2419"/>
    <cellStyle name="Comma 12 4" xfId="2668"/>
    <cellStyle name="Comma 12 4 2" xfId="2727"/>
    <cellStyle name="Comma 13" xfId="709"/>
    <cellStyle name="Comma 13 2" xfId="66"/>
    <cellStyle name="Comma 13 2 2" xfId="4134"/>
    <cellStyle name="Comma 13 2 2 2" xfId="4135"/>
    <cellStyle name="Comma 13 2 2 2 2" xfId="4136"/>
    <cellStyle name="Comma 13 2 2 2 3" xfId="4137"/>
    <cellStyle name="Comma 13 2 2 3" xfId="4138"/>
    <cellStyle name="Comma 13 2 2 4" xfId="4139"/>
    <cellStyle name="Comma 13 2 2 5" xfId="4140"/>
    <cellStyle name="Comma 13 2 3" xfId="4141"/>
    <cellStyle name="Comma 13 2 3 2" xfId="4142"/>
    <cellStyle name="Comma 13 2 4" xfId="4143"/>
    <cellStyle name="Comma 13 2 5" xfId="4144"/>
    <cellStyle name="Comma 13 3" xfId="2669"/>
    <cellStyle name="Comma 13 3 2" xfId="2728"/>
    <cellStyle name="Comma 13 4" xfId="4145"/>
    <cellStyle name="Comma 14" xfId="13"/>
    <cellStyle name="Comma 14 2" xfId="14"/>
    <cellStyle name="Comma 14 2 2" xfId="710"/>
    <cellStyle name="Comma 14 3" xfId="711"/>
    <cellStyle name="Comma 14 4" xfId="712"/>
    <cellStyle name="Comma 15" xfId="713"/>
    <cellStyle name="Comma 15 2" xfId="714"/>
    <cellStyle name="Comma 15 2 2" xfId="715"/>
    <cellStyle name="Comma 15 3" xfId="716"/>
    <cellStyle name="Comma 16" xfId="717"/>
    <cellStyle name="Comma 16 2" xfId="2440"/>
    <cellStyle name="Comma 16 3" xfId="2670"/>
    <cellStyle name="Comma 16 3 2" xfId="2729"/>
    <cellStyle name="Comma 16 3 2 2" xfId="4146"/>
    <cellStyle name="Comma 16 3 3" xfId="4147"/>
    <cellStyle name="Comma 16 3 3 2" xfId="4148"/>
    <cellStyle name="Comma 16 3 4" xfId="4149"/>
    <cellStyle name="Comma 17" xfId="718"/>
    <cellStyle name="Comma 17 2" xfId="2285"/>
    <cellStyle name="Comma 17 3" xfId="2671"/>
    <cellStyle name="Comma 17 3 2" xfId="2730"/>
    <cellStyle name="Comma 17 4" xfId="4150"/>
    <cellStyle name="Comma 18" xfId="719"/>
    <cellStyle name="Comma 18 2" xfId="2306"/>
    <cellStyle name="Comma 18 3" xfId="2672"/>
    <cellStyle name="Comma 18 3 2" xfId="2731"/>
    <cellStyle name="Comma 19" xfId="720"/>
    <cellStyle name="Comma 19 2" xfId="2307"/>
    <cellStyle name="Comma 19 3" xfId="2673"/>
    <cellStyle name="Comma 19 3 2" xfId="2732"/>
    <cellStyle name="Comma 2" xfId="15"/>
    <cellStyle name="Comma 2 10" xfId="4151"/>
    <cellStyle name="Comma 2 11" xfId="4152"/>
    <cellStyle name="Comma 2 12" xfId="4153"/>
    <cellStyle name="Comma 2 13" xfId="4154"/>
    <cellStyle name="Comma 2 14" xfId="4155"/>
    <cellStyle name="Comma 2 15" xfId="4156"/>
    <cellStyle name="Comma 2 16" xfId="4157"/>
    <cellStyle name="Comma 2 17" xfId="4158"/>
    <cellStyle name="Comma 2 18" xfId="4159"/>
    <cellStyle name="Comma 2 19" xfId="4160"/>
    <cellStyle name="Comma 2 2" xfId="721"/>
    <cellStyle name="Comma 2 2 10" xfId="4161"/>
    <cellStyle name="Comma 2 2 11" xfId="4162"/>
    <cellStyle name="Comma 2 2 12" xfId="4163"/>
    <cellStyle name="Comma 2 2 13" xfId="4164"/>
    <cellStyle name="Comma 2 2 14" xfId="4165"/>
    <cellStyle name="Comma 2 2 15" xfId="4166"/>
    <cellStyle name="Comma 2 2 16" xfId="4167"/>
    <cellStyle name="Comma 2 2 17" xfId="4168"/>
    <cellStyle name="Comma 2 2 18" xfId="4169"/>
    <cellStyle name="Comma 2 2 19" xfId="4170"/>
    <cellStyle name="Comma 2 2 2" xfId="722"/>
    <cellStyle name="Comma 2 2 2 10" xfId="4171"/>
    <cellStyle name="Comma 2 2 2 11" xfId="4172"/>
    <cellStyle name="Comma 2 2 2 12" xfId="4173"/>
    <cellStyle name="Comma 2 2 2 13" xfId="4174"/>
    <cellStyle name="Comma 2 2 2 14" xfId="4175"/>
    <cellStyle name="Comma 2 2 2 15" xfId="4176"/>
    <cellStyle name="Comma 2 2 2 16" xfId="4177"/>
    <cellStyle name="Comma 2 2 2 17" xfId="4178"/>
    <cellStyle name="Comma 2 2 2 18" xfId="4179"/>
    <cellStyle name="Comma 2 2 2 19" xfId="4180"/>
    <cellStyle name="Comma 2 2 2 2" xfId="4181"/>
    <cellStyle name="Comma 2 2 2 2 2" xfId="4182"/>
    <cellStyle name="Comma 2 2 2 20" xfId="4183"/>
    <cellStyle name="Comma 2 2 2 21" xfId="4184"/>
    <cellStyle name="Comma 2 2 2 22" xfId="4185"/>
    <cellStyle name="Comma 2 2 2 23" xfId="4186"/>
    <cellStyle name="Comma 2 2 2 24" xfId="4187"/>
    <cellStyle name="Comma 2 2 2 3" xfId="4188"/>
    <cellStyle name="Comma 2 2 2 4" xfId="4189"/>
    <cellStyle name="Comma 2 2 2 5" xfId="4190"/>
    <cellStyle name="Comma 2 2 2 6" xfId="4191"/>
    <cellStyle name="Comma 2 2 2 7" xfId="4192"/>
    <cellStyle name="Comma 2 2 2 8" xfId="4193"/>
    <cellStyle name="Comma 2 2 2 9" xfId="4194"/>
    <cellStyle name="Comma 2 2 20" xfId="4195"/>
    <cellStyle name="Comma 2 2 21" xfId="4196"/>
    <cellStyle name="Comma 2 2 22" xfId="4197"/>
    <cellStyle name="Comma 2 2 23" xfId="4198"/>
    <cellStyle name="Comma 2 2 24" xfId="4199"/>
    <cellStyle name="Comma 2 2 24 2" xfId="4200"/>
    <cellStyle name="Comma 2 2 25" xfId="4201"/>
    <cellStyle name="Comma 2 2 3" xfId="723"/>
    <cellStyle name="Comma 2 2 3 2" xfId="4202"/>
    <cellStyle name="Comma 2 2 4" xfId="4203"/>
    <cellStyle name="Comma 2 2 5" xfId="4204"/>
    <cellStyle name="Comma 2 2 6" xfId="4205"/>
    <cellStyle name="Comma 2 2 7" xfId="4206"/>
    <cellStyle name="Comma 2 2 8" xfId="4207"/>
    <cellStyle name="Comma 2 2 9" xfId="4208"/>
    <cellStyle name="Comma 2 2_05-12  KH trung han 2016-2020 - Liem Thinh edited" xfId="4209"/>
    <cellStyle name="Comma 2 20" xfId="4210"/>
    <cellStyle name="Comma 2 21" xfId="4211"/>
    <cellStyle name="Comma 2 22" xfId="4212"/>
    <cellStyle name="Comma 2 23" xfId="4213"/>
    <cellStyle name="Comma 2 24" xfId="4214"/>
    <cellStyle name="Comma 2 25" xfId="4215"/>
    <cellStyle name="Comma 2 26" xfId="4216"/>
    <cellStyle name="Comma 2 26 2" xfId="4217"/>
    <cellStyle name="Comma 2 27" xfId="4218"/>
    <cellStyle name="Comma 2 28" xfId="724"/>
    <cellStyle name="Comma 2 29" xfId="7007"/>
    <cellStyle name="Comma 2 3" xfId="725"/>
    <cellStyle name="Comma 2 3 2" xfId="4219"/>
    <cellStyle name="Comma 2 3 2 2" xfId="4220"/>
    <cellStyle name="Comma 2 3 2 3" xfId="4221"/>
    <cellStyle name="Comma 2 3 3" xfId="4222"/>
    <cellStyle name="Comma 2 4" xfId="726"/>
    <cellStyle name="Comma 2 4 2" xfId="4223"/>
    <cellStyle name="Comma 2 5" xfId="727"/>
    <cellStyle name="Comma 2 5 2" xfId="4224"/>
    <cellStyle name="Comma 2 5 3" xfId="4225"/>
    <cellStyle name="Comma 2 6" xfId="4226"/>
    <cellStyle name="Comma 2 7" xfId="4227"/>
    <cellStyle name="Comma 2 8" xfId="4228"/>
    <cellStyle name="Comma 2 9" xfId="4229"/>
    <cellStyle name="Comma 2_05-12  KH trung han 2016-2020 - Liem Thinh edited" xfId="4230"/>
    <cellStyle name="Comma 20" xfId="728"/>
    <cellStyle name="Comma 20 2" xfId="2428"/>
    <cellStyle name="Comma 20 3" xfId="2674"/>
    <cellStyle name="Comma 20 3 2" xfId="2733"/>
    <cellStyle name="Comma 21" xfId="729"/>
    <cellStyle name="Comma 21 2" xfId="730"/>
    <cellStyle name="Comma 21 2 2" xfId="731"/>
    <cellStyle name="Comma 21 2 2 2" xfId="2429"/>
    <cellStyle name="Comma 21 2 2 3" xfId="2677"/>
    <cellStyle name="Comma 21 2 2 3 2" xfId="2734"/>
    <cellStyle name="Comma 21 2 3" xfId="65"/>
    <cellStyle name="Comma 21 2 4" xfId="2676"/>
    <cellStyle name="Comma 21 2 4 2" xfId="2735"/>
    <cellStyle name="Comma 21 3" xfId="732"/>
    <cellStyle name="Comma 21 3 2" xfId="2278"/>
    <cellStyle name="Comma 21 3 3" xfId="2678"/>
    <cellStyle name="Comma 21 3 3 2" xfId="2736"/>
    <cellStyle name="Comma 21 4" xfId="2308"/>
    <cellStyle name="Comma 21 5" xfId="2675"/>
    <cellStyle name="Comma 21 5 2" xfId="2737"/>
    <cellStyle name="Comma 22" xfId="733"/>
    <cellStyle name="Comma 22 2" xfId="734"/>
    <cellStyle name="Comma 22 2 2" xfId="735"/>
    <cellStyle name="Comma 22 2 2 2" xfId="2439"/>
    <cellStyle name="Comma 22 2 2 3" xfId="2681"/>
    <cellStyle name="Comma 22 2 2 3 2" xfId="2738"/>
    <cellStyle name="Comma 22 2 3" xfId="2290"/>
    <cellStyle name="Comma 22 2 4" xfId="2680"/>
    <cellStyle name="Comma 22 2 4 2" xfId="2739"/>
    <cellStyle name="Comma 22 3" xfId="736"/>
    <cellStyle name="Comma 22 3 2" xfId="2438"/>
    <cellStyle name="Comma 22 3 3" xfId="2682"/>
    <cellStyle name="Comma 22 3 3 2" xfId="2740"/>
    <cellStyle name="Comma 22 4" xfId="64"/>
    <cellStyle name="Comma 22 5" xfId="2679"/>
    <cellStyle name="Comma 22 5 2" xfId="2741"/>
    <cellStyle name="Comma 23" xfId="737"/>
    <cellStyle name="Comma 23 2" xfId="738"/>
    <cellStyle name="Comma 23 2 2" xfId="739"/>
    <cellStyle name="Comma 23 2 2 2" xfId="2311"/>
    <cellStyle name="Comma 23 2 2 3" xfId="2685"/>
    <cellStyle name="Comma 23 2 2 3 2" xfId="2742"/>
    <cellStyle name="Comma 23 2 3" xfId="2310"/>
    <cellStyle name="Comma 23 2 4" xfId="2684"/>
    <cellStyle name="Comma 23 2 4 2" xfId="2743"/>
    <cellStyle name="Comma 23 3" xfId="740"/>
    <cellStyle name="Comma 23 3 2" xfId="2291"/>
    <cellStyle name="Comma 23 3 3" xfId="2686"/>
    <cellStyle name="Comma 23 3 3 2" xfId="2744"/>
    <cellStyle name="Comma 23 4" xfId="2309"/>
    <cellStyle name="Comma 23 5" xfId="2683"/>
    <cellStyle name="Comma 23 5 2" xfId="2745"/>
    <cellStyle name="Comma 24" xfId="741"/>
    <cellStyle name="Comma 24 2" xfId="742"/>
    <cellStyle name="Comma 24 2 2" xfId="743"/>
    <cellStyle name="Comma 24 2 2 2" xfId="2437"/>
    <cellStyle name="Comma 24 2 2 3" xfId="2689"/>
    <cellStyle name="Comma 24 2 2 3 2" xfId="2746"/>
    <cellStyle name="Comma 24 2 3" xfId="62"/>
    <cellStyle name="Comma 24 2 4" xfId="2688"/>
    <cellStyle name="Comma 24 2 4 2" xfId="2747"/>
    <cellStyle name="Comma 24 3" xfId="744"/>
    <cellStyle name="Comma 24 3 2" xfId="2312"/>
    <cellStyle name="Comma 24 3 3" xfId="2690"/>
    <cellStyle name="Comma 24 3 3 2" xfId="2748"/>
    <cellStyle name="Comma 24 4" xfId="63"/>
    <cellStyle name="Comma 24 5" xfId="2687"/>
    <cellStyle name="Comma 24 5 2" xfId="2749"/>
    <cellStyle name="Comma 25" xfId="745"/>
    <cellStyle name="Comma 25 2" xfId="4231"/>
    <cellStyle name="Comma 26" xfId="746"/>
    <cellStyle name="Comma 26 2" xfId="747"/>
    <cellStyle name="Comma 26 2 2" xfId="2313"/>
    <cellStyle name="Comma 26 2 3" xfId="2692"/>
    <cellStyle name="Comma 26 2 3 2" xfId="2750"/>
    <cellStyle name="Comma 26 3" xfId="2436"/>
    <cellStyle name="Comma 26 4" xfId="2691"/>
    <cellStyle name="Comma 26 4 2" xfId="2751"/>
    <cellStyle name="Comma 27" xfId="748"/>
    <cellStyle name="Comma 27 2" xfId="749"/>
    <cellStyle name="Comma 27 2 2" xfId="2279"/>
    <cellStyle name="Comma 27 2 3" xfId="2694"/>
    <cellStyle name="Comma 27 2 3 2" xfId="2752"/>
    <cellStyle name="Comma 27 3" xfId="2314"/>
    <cellStyle name="Comma 27 4" xfId="2693"/>
    <cellStyle name="Comma 27 4 2" xfId="2753"/>
    <cellStyle name="Comma 28" xfId="750"/>
    <cellStyle name="Comma 28 2" xfId="4232"/>
    <cellStyle name="Comma 29" xfId="751"/>
    <cellStyle name="Comma 29 2" xfId="4233"/>
    <cellStyle name="Comma 3" xfId="16"/>
    <cellStyle name="Comma 3 2" xfId="752"/>
    <cellStyle name="Comma 3 2 10" xfId="4234"/>
    <cellStyle name="Comma 3 2 11" xfId="4235"/>
    <cellStyle name="Comma 3 2 12" xfId="4236"/>
    <cellStyle name="Comma 3 2 13" xfId="4237"/>
    <cellStyle name="Comma 3 2 14" xfId="4238"/>
    <cellStyle name="Comma 3 2 15" xfId="4239"/>
    <cellStyle name="Comma 3 2 2" xfId="753"/>
    <cellStyle name="Comma 3 2 2 2" xfId="4240"/>
    <cellStyle name="Comma 3 2 2 3" xfId="4241"/>
    <cellStyle name="Comma 3 2 3" xfId="754"/>
    <cellStyle name="Comma 3 2 3 2" xfId="4242"/>
    <cellStyle name="Comma 3 2 3 3" xfId="4243"/>
    <cellStyle name="Comma 3 2 4" xfId="4244"/>
    <cellStyle name="Comma 3 2 5" xfId="4245"/>
    <cellStyle name="Comma 3 2 6" xfId="4246"/>
    <cellStyle name="Comma 3 2 7" xfId="4247"/>
    <cellStyle name="Comma 3 2 8" xfId="4248"/>
    <cellStyle name="Comma 3 2 9" xfId="4249"/>
    <cellStyle name="Comma 3 3" xfId="755"/>
    <cellStyle name="Comma 3 3 2" xfId="4250"/>
    <cellStyle name="Comma 3 3 3" xfId="4251"/>
    <cellStyle name="Comma 3 4" xfId="756"/>
    <cellStyle name="Comma 3 4 2" xfId="4252"/>
    <cellStyle name="Comma 3 4 3" xfId="4253"/>
    <cellStyle name="Comma 3 5" xfId="757"/>
    <cellStyle name="Comma 3 5 2" xfId="4254"/>
    <cellStyle name="Comma 3 6" xfId="758"/>
    <cellStyle name="Comma 3 6 2" xfId="4255"/>
    <cellStyle name="Comma 3 7" xfId="759"/>
    <cellStyle name="Comma 3_Biểu 14 - KH2015 dự án ODA" xfId="4256"/>
    <cellStyle name="Comma 30" xfId="760"/>
    <cellStyle name="Comma 30 2" xfId="4257"/>
    <cellStyle name="Comma 31" xfId="761"/>
    <cellStyle name="Comma 31 2" xfId="2423"/>
    <cellStyle name="Comma 31 3" xfId="2695"/>
    <cellStyle name="Comma 31 3 2" xfId="2754"/>
    <cellStyle name="Comma 32" xfId="762"/>
    <cellStyle name="Comma 32 2" xfId="2315"/>
    <cellStyle name="Comma 32 2 2" xfId="4258"/>
    <cellStyle name="Comma 32 3" xfId="2696"/>
    <cellStyle name="Comma 32 3 2" xfId="2755"/>
    <cellStyle name="Comma 33" xfId="4259"/>
    <cellStyle name="Comma 33 2" xfId="4260"/>
    <cellStyle name="Comma 34" xfId="4261"/>
    <cellStyle name="Comma 34 2" xfId="4262"/>
    <cellStyle name="Comma 35" xfId="4263"/>
    <cellStyle name="Comma 35 2" xfId="4264"/>
    <cellStyle name="Comma 35 3" xfId="4265"/>
    <cellStyle name="Comma 35 3 2" xfId="4266"/>
    <cellStyle name="Comma 35 4" xfId="4267"/>
    <cellStyle name="Comma 35 4 2" xfId="4268"/>
    <cellStyle name="Comma 36" xfId="4269"/>
    <cellStyle name="Comma 36 2" xfId="4270"/>
    <cellStyle name="Comma 37" xfId="4271"/>
    <cellStyle name="Comma 37 2" xfId="4272"/>
    <cellStyle name="Comma 38" xfId="4273"/>
    <cellStyle name="Comma 39" xfId="4274"/>
    <cellStyle name="Comma 39 2" xfId="4275"/>
    <cellStyle name="Comma 4" xfId="17"/>
    <cellStyle name="Comma 4 10" xfId="4276"/>
    <cellStyle name="Comma 4 11" xfId="4277"/>
    <cellStyle name="Comma 4 12" xfId="4278"/>
    <cellStyle name="Comma 4 13" xfId="4279"/>
    <cellStyle name="Comma 4 14" xfId="4280"/>
    <cellStyle name="Comma 4 15" xfId="4281"/>
    <cellStyle name="Comma 4 16" xfId="4282"/>
    <cellStyle name="Comma 4 17" xfId="4283"/>
    <cellStyle name="Comma 4 18" xfId="4284"/>
    <cellStyle name="Comma 4 19" xfId="4285"/>
    <cellStyle name="Comma 4 2" xfId="763"/>
    <cellStyle name="Comma 4 2 2" xfId="764"/>
    <cellStyle name="Comma 4 2 3" xfId="765"/>
    <cellStyle name="Comma 4 20" xfId="766"/>
    <cellStyle name="Comma 4 3" xfId="767"/>
    <cellStyle name="Comma 4 3 2" xfId="4286"/>
    <cellStyle name="Comma 4 3 2 2" xfId="4287"/>
    <cellStyle name="Comma 4 3 3" xfId="4288"/>
    <cellStyle name="Comma 4 4" xfId="768"/>
    <cellStyle name="Comma 4 4 2" xfId="4289"/>
    <cellStyle name="Comma 4 4 3" xfId="4290"/>
    <cellStyle name="Comma 4 4 4" xfId="4291"/>
    <cellStyle name="Comma 4 5" xfId="769"/>
    <cellStyle name="Comma 4 6" xfId="770"/>
    <cellStyle name="Comma 4 7" xfId="771"/>
    <cellStyle name="Comma 4 8" xfId="4292"/>
    <cellStyle name="Comma 4 9" xfId="4293"/>
    <cellStyle name="Comma 4_THEO DOI THUC HIEN (GỐC 1)" xfId="4294"/>
    <cellStyle name="Comma 40" xfId="4295"/>
    <cellStyle name="Comma 40 2" xfId="4296"/>
    <cellStyle name="Comma 41" xfId="4297"/>
    <cellStyle name="Comma 42" xfId="4298"/>
    <cellStyle name="Comma 43" xfId="4299"/>
    <cellStyle name="Comma 44" xfId="4300"/>
    <cellStyle name="Comma 45" xfId="4301"/>
    <cellStyle name="Comma 46" xfId="4302"/>
    <cellStyle name="Comma 47" xfId="4303"/>
    <cellStyle name="Comma 48" xfId="4304"/>
    <cellStyle name="Comma 49" xfId="4305"/>
    <cellStyle name="Comma 5" xfId="18"/>
    <cellStyle name="Comma 5 10" xfId="4306"/>
    <cellStyle name="Comma 5 11" xfId="4307"/>
    <cellStyle name="Comma 5 12" xfId="4308"/>
    <cellStyle name="Comma 5 13" xfId="4309"/>
    <cellStyle name="Comma 5 14" xfId="4310"/>
    <cellStyle name="Comma 5 15" xfId="4311"/>
    <cellStyle name="Comma 5 16" xfId="4312"/>
    <cellStyle name="Comma 5 17" xfId="4313"/>
    <cellStyle name="Comma 5 17 2" xfId="4314"/>
    <cellStyle name="Comma 5 18" xfId="4315"/>
    <cellStyle name="Comma 5 19" xfId="4316"/>
    <cellStyle name="Comma 5 2" xfId="19"/>
    <cellStyle name="Comma 5 2 2" xfId="4317"/>
    <cellStyle name="Comma 5 20" xfId="4318"/>
    <cellStyle name="Comma 5 3" xfId="772"/>
    <cellStyle name="Comma 5 3 2" xfId="4319"/>
    <cellStyle name="Comma 5 4" xfId="773"/>
    <cellStyle name="Comma 5 4 2" xfId="4320"/>
    <cellStyle name="Comma 5 5" xfId="4321"/>
    <cellStyle name="Comma 5 5 2" xfId="4322"/>
    <cellStyle name="Comma 5 6" xfId="4323"/>
    <cellStyle name="Comma 5 7" xfId="4324"/>
    <cellStyle name="Comma 5 8" xfId="4325"/>
    <cellStyle name="Comma 5 9" xfId="4326"/>
    <cellStyle name="Comma 5_05-12  KH trung han 2016-2020 - Liem Thinh edited" xfId="4327"/>
    <cellStyle name="Comma 50" xfId="4328"/>
    <cellStyle name="Comma 50 2" xfId="4329"/>
    <cellStyle name="Comma 51" xfId="4330"/>
    <cellStyle name="Comma 51 2" xfId="4331"/>
    <cellStyle name="Comma 52" xfId="4332"/>
    <cellStyle name="Comma 53" xfId="4333"/>
    <cellStyle name="Comma 55" xfId="2416"/>
    <cellStyle name="Comma 55 2" xfId="2316"/>
    <cellStyle name="Comma 55 3" xfId="2700"/>
    <cellStyle name="Comma 55 3 2" xfId="2756"/>
    <cellStyle name="Comma 56" xfId="2415"/>
    <cellStyle name="Comma 56 2" xfId="2280"/>
    <cellStyle name="Comma 56 3" xfId="2699"/>
    <cellStyle name="Comma 56 3 2" xfId="2757"/>
    <cellStyle name="Comma 59" xfId="20"/>
    <cellStyle name="Comma 59 2" xfId="2286"/>
    <cellStyle name="Comma 59 3" xfId="2663"/>
    <cellStyle name="Comma 59 3 2" xfId="2758"/>
    <cellStyle name="Comma 6" xfId="21"/>
    <cellStyle name="Comma 6 2" xfId="774"/>
    <cellStyle name="Comma 6 2 2" xfId="4334"/>
    <cellStyle name="Comma 6 3" xfId="775"/>
    <cellStyle name="Comma 6 4" xfId="776"/>
    <cellStyle name="Comma 6 5" xfId="777"/>
    <cellStyle name="Comma 60" xfId="22"/>
    <cellStyle name="Comma 60 2" xfId="2317"/>
    <cellStyle name="Comma 60 3" xfId="2664"/>
    <cellStyle name="Comma 60 3 2" xfId="2759"/>
    <cellStyle name="Comma 7" xfId="23"/>
    <cellStyle name="Comma 7 2" xfId="778"/>
    <cellStyle name="Comma 7 2 2" xfId="779"/>
    <cellStyle name="Comma 7 3" xfId="780"/>
    <cellStyle name="Comma 7 3 2" xfId="4335"/>
    <cellStyle name="Comma 7_20131129 Nhu cau 2014_TPCP ODA (co hoan ung)" xfId="4336"/>
    <cellStyle name="Comma 8" xfId="24"/>
    <cellStyle name="Comma 8 2" xfId="25"/>
    <cellStyle name="Comma 8 2 2" xfId="781"/>
    <cellStyle name="Comma 8 2 3" xfId="782"/>
    <cellStyle name="Comma 8 3" xfId="26"/>
    <cellStyle name="Comma 8 3 2" xfId="783"/>
    <cellStyle name="Comma 8 4" xfId="784"/>
    <cellStyle name="Comma 9" xfId="27"/>
    <cellStyle name="Comma 9 2" xfId="2318"/>
    <cellStyle name="Comma 9 2 2" xfId="4337"/>
    <cellStyle name="Comma 9 2 3" xfId="4338"/>
    <cellStyle name="Comma 9 3" xfId="2665"/>
    <cellStyle name="Comma 9 3 2" xfId="2760"/>
    <cellStyle name="Comma 9 4" xfId="4339"/>
    <cellStyle name="Comma 9 5" xfId="4340"/>
    <cellStyle name="Comma 9 6" xfId="4341"/>
    <cellStyle name="comma zerodec" xfId="785"/>
    <cellStyle name="comma zerodec 2" xfId="786"/>
    <cellStyle name="Comma0" xfId="787"/>
    <cellStyle name="Comma0 - Modelo1" xfId="6997"/>
    <cellStyle name="Comma0 - Style1" xfId="6998"/>
    <cellStyle name="Comma0 10" xfId="4342"/>
    <cellStyle name="Comma0 11" xfId="4343"/>
    <cellStyle name="Comma0 12" xfId="4344"/>
    <cellStyle name="Comma0 13" xfId="4345"/>
    <cellStyle name="Comma0 14" xfId="4346"/>
    <cellStyle name="Comma0 15" xfId="4347"/>
    <cellStyle name="Comma0 16" xfId="4348"/>
    <cellStyle name="Comma0 2" xfId="4349"/>
    <cellStyle name="Comma0 2 2" xfId="4350"/>
    <cellStyle name="Comma0 3" xfId="4351"/>
    <cellStyle name="Comma0 4" xfId="4352"/>
    <cellStyle name="Comma0 5" xfId="4353"/>
    <cellStyle name="Comma0 6" xfId="4354"/>
    <cellStyle name="Comma0 7" xfId="4355"/>
    <cellStyle name="Comma0 8" xfId="4356"/>
    <cellStyle name="Comma0 9" xfId="4357"/>
    <cellStyle name="Comma0_4 XA DE BAO NGOAI" xfId="6999"/>
    <cellStyle name="Comma1 - Modelo2" xfId="7000"/>
    <cellStyle name="Comma1 - Style2" xfId="7001"/>
    <cellStyle name="Commaɟpldt_6" xfId="7002"/>
    <cellStyle name="Company Name" xfId="4358"/>
    <cellStyle name="cong" xfId="4359"/>
    <cellStyle name="Copied" xfId="788"/>
    <cellStyle name="Copied 2" xfId="789"/>
    <cellStyle name="Co聭ma_Sheet1" xfId="4360"/>
    <cellStyle name="CR Comma" xfId="4361"/>
    <cellStyle name="CR Currency" xfId="4362"/>
    <cellStyle name="Credit" xfId="4363"/>
    <cellStyle name="Credit subtotal" xfId="4364"/>
    <cellStyle name="Credit Total" xfId="4365"/>
    <cellStyle name="Cࡵrrency_Sheet1_PRODUCTĠ" xfId="790"/>
    <cellStyle name="CT1" xfId="7003"/>
    <cellStyle name="CT2" xfId="7004"/>
    <cellStyle name="CT4" xfId="7005"/>
    <cellStyle name="Curråncy [0]_FCST_RESULTS" xfId="4366"/>
    <cellStyle name="Currency %" xfId="4367"/>
    <cellStyle name="Currency % 10" xfId="4368"/>
    <cellStyle name="Currency % 11" xfId="4369"/>
    <cellStyle name="Currency % 12" xfId="4370"/>
    <cellStyle name="Currency % 13" xfId="4371"/>
    <cellStyle name="Currency % 14" xfId="4372"/>
    <cellStyle name="Currency % 15" xfId="4373"/>
    <cellStyle name="Currency % 2" xfId="4374"/>
    <cellStyle name="Currency % 3" xfId="4375"/>
    <cellStyle name="Currency % 4" xfId="4376"/>
    <cellStyle name="Currency % 5" xfId="4377"/>
    <cellStyle name="Currency % 6" xfId="4378"/>
    <cellStyle name="Currency % 7" xfId="4379"/>
    <cellStyle name="Currency % 8" xfId="4380"/>
    <cellStyle name="Currency % 9" xfId="4381"/>
    <cellStyle name="Currency %_05-12  KH trung han 2016-2020 - Liem Thinh edited" xfId="4382"/>
    <cellStyle name="Currency [0]ßmud plant bolted_RESULTS" xfId="4383"/>
    <cellStyle name="Currency [00]" xfId="791"/>
    <cellStyle name="Currency [00] 10" xfId="4384"/>
    <cellStyle name="Currency [00] 11" xfId="4385"/>
    <cellStyle name="Currency [00] 12" xfId="4386"/>
    <cellStyle name="Currency [00] 13" xfId="4387"/>
    <cellStyle name="Currency [00] 14" xfId="4388"/>
    <cellStyle name="Currency [00] 15" xfId="4389"/>
    <cellStyle name="Currency [00] 16" xfId="4390"/>
    <cellStyle name="Currency [00] 2" xfId="792"/>
    <cellStyle name="Currency [00] 3" xfId="4391"/>
    <cellStyle name="Currency [00] 4" xfId="4392"/>
    <cellStyle name="Currency [00] 5" xfId="4393"/>
    <cellStyle name="Currency [00] 6" xfId="4394"/>
    <cellStyle name="Currency [00] 7" xfId="4395"/>
    <cellStyle name="Currency [00] 8" xfId="4396"/>
    <cellStyle name="Currency [00] 9" xfId="4397"/>
    <cellStyle name="Currency 0.0" xfId="4398"/>
    <cellStyle name="Currency 0.0%" xfId="4399"/>
    <cellStyle name="Currency 0.00" xfId="4400"/>
    <cellStyle name="Currency 0.00%" xfId="4401"/>
    <cellStyle name="Currency 0.000" xfId="4402"/>
    <cellStyle name="Currency 0.000%" xfId="4403"/>
    <cellStyle name="Currency 2" xfId="4404"/>
    <cellStyle name="Currency 2 10" xfId="4405"/>
    <cellStyle name="Currency 2 11" xfId="4406"/>
    <cellStyle name="Currency 2 12" xfId="4407"/>
    <cellStyle name="Currency 2 13" xfId="4408"/>
    <cellStyle name="Currency 2 14" xfId="4409"/>
    <cellStyle name="Currency 2 15" xfId="4410"/>
    <cellStyle name="Currency 2 16" xfId="4411"/>
    <cellStyle name="Currency 2 2" xfId="4412"/>
    <cellStyle name="Currency 2 3" xfId="4413"/>
    <cellStyle name="Currency 2 4" xfId="4414"/>
    <cellStyle name="Currency 2 5" xfId="4415"/>
    <cellStyle name="Currency 2 6" xfId="4416"/>
    <cellStyle name="Currency 2 7" xfId="4417"/>
    <cellStyle name="Currency 2 8" xfId="4418"/>
    <cellStyle name="Currency 2 9" xfId="4419"/>
    <cellStyle name="Currency![0]_FCSt (2)" xfId="4420"/>
    <cellStyle name="Currency0" xfId="793"/>
    <cellStyle name="Currency0 10" xfId="4421"/>
    <cellStyle name="Currency0 11" xfId="4422"/>
    <cellStyle name="Currency0 12" xfId="4423"/>
    <cellStyle name="Currency0 13" xfId="4424"/>
    <cellStyle name="Currency0 14" xfId="4425"/>
    <cellStyle name="Currency0 15" xfId="4426"/>
    <cellStyle name="Currency0 16" xfId="4427"/>
    <cellStyle name="Currency0 2" xfId="4428"/>
    <cellStyle name="Currency0 2 2" xfId="4429"/>
    <cellStyle name="Currency0 3" xfId="4430"/>
    <cellStyle name="Currency0 4" xfId="4431"/>
    <cellStyle name="Currency0 5" xfId="4432"/>
    <cellStyle name="Currency0 6" xfId="4433"/>
    <cellStyle name="Currency0 7" xfId="4434"/>
    <cellStyle name="Currency0 8" xfId="4435"/>
    <cellStyle name="Currency0 9" xfId="4436"/>
    <cellStyle name="Currency1" xfId="794"/>
    <cellStyle name="Currency1 10" xfId="4437"/>
    <cellStyle name="Currency1 11" xfId="4438"/>
    <cellStyle name="Currency1 12" xfId="4439"/>
    <cellStyle name="Currency1 13" xfId="4440"/>
    <cellStyle name="Currency1 14" xfId="4441"/>
    <cellStyle name="Currency1 15" xfId="4442"/>
    <cellStyle name="Currency1 16" xfId="4443"/>
    <cellStyle name="Currency1 2" xfId="795"/>
    <cellStyle name="Currency1 2 2" xfId="4444"/>
    <cellStyle name="Currency1 3" xfId="4445"/>
    <cellStyle name="Currency1 4" xfId="4446"/>
    <cellStyle name="Currency1 5" xfId="4447"/>
    <cellStyle name="Currency1 6" xfId="4448"/>
    <cellStyle name="Currency1 7" xfId="4449"/>
    <cellStyle name="Currency1 8" xfId="4450"/>
    <cellStyle name="Currency1 9" xfId="4451"/>
    <cellStyle name="D1" xfId="4452"/>
    <cellStyle name="Date" xfId="802"/>
    <cellStyle name="Date 10" xfId="4453"/>
    <cellStyle name="Date 11" xfId="4454"/>
    <cellStyle name="Date 12" xfId="4455"/>
    <cellStyle name="Date 13" xfId="4456"/>
    <cellStyle name="Date 14" xfId="4457"/>
    <cellStyle name="Date 15" xfId="4458"/>
    <cellStyle name="Date 16" xfId="4459"/>
    <cellStyle name="Date 2" xfId="4460"/>
    <cellStyle name="Date 2 2" xfId="4461"/>
    <cellStyle name="Date 3" xfId="4462"/>
    <cellStyle name="Date 4" xfId="4463"/>
    <cellStyle name="Date 5" xfId="4464"/>
    <cellStyle name="Date 6" xfId="4465"/>
    <cellStyle name="Date 7" xfId="4466"/>
    <cellStyle name="Date 8" xfId="4467"/>
    <cellStyle name="Date 9" xfId="4468"/>
    <cellStyle name="Date Short" xfId="803"/>
    <cellStyle name="Date Short 2" xfId="4469"/>
    <cellStyle name="Date_Book1" xfId="4470"/>
    <cellStyle name="Dấu_phảy 2" xfId="4472"/>
    <cellStyle name="DAUDE" xfId="4471"/>
    <cellStyle name="Debit" xfId="4473"/>
    <cellStyle name="Debit subtotal" xfId="4474"/>
    <cellStyle name="Debit Total" xfId="4475"/>
    <cellStyle name="DELTA" xfId="4476"/>
    <cellStyle name="DELTA 10" xfId="4477"/>
    <cellStyle name="DELTA 11" xfId="4478"/>
    <cellStyle name="DELTA 12" xfId="4479"/>
    <cellStyle name="DELTA 13" xfId="4480"/>
    <cellStyle name="DELTA 14" xfId="4481"/>
    <cellStyle name="DELTA 15" xfId="4482"/>
    <cellStyle name="DELTA 2" xfId="4483"/>
    <cellStyle name="DELTA 3" xfId="4484"/>
    <cellStyle name="DELTA 4" xfId="4485"/>
    <cellStyle name="DELTA 5" xfId="4486"/>
    <cellStyle name="DELTA 6" xfId="4487"/>
    <cellStyle name="DELTA 7" xfId="4488"/>
    <cellStyle name="DELTA 8" xfId="4489"/>
    <cellStyle name="DELTA 9" xfId="4490"/>
    <cellStyle name="Dezimal [0]_35ERI8T2gbIEMixb4v26icuOo" xfId="4491"/>
    <cellStyle name="Dezimal_35ERI8T2gbIEMixb4v26icuOo" xfId="4492"/>
    <cellStyle name="Dg" xfId="4493"/>
    <cellStyle name="Dgia" xfId="4494"/>
    <cellStyle name="Dgia 2" xfId="4495"/>
    <cellStyle name="Dollar (zero dec)" xfId="804"/>
    <cellStyle name="Dollar (zero dec) 10" xfId="4496"/>
    <cellStyle name="Dollar (zero dec) 11" xfId="4497"/>
    <cellStyle name="Dollar (zero dec) 12" xfId="4498"/>
    <cellStyle name="Dollar (zero dec) 13" xfId="4499"/>
    <cellStyle name="Dollar (zero dec) 14" xfId="4500"/>
    <cellStyle name="Dollar (zero dec) 15" xfId="4501"/>
    <cellStyle name="Dollar (zero dec) 16" xfId="4502"/>
    <cellStyle name="Dollar (zero dec) 2" xfId="805"/>
    <cellStyle name="Dollar (zero dec) 2 2" xfId="4503"/>
    <cellStyle name="Dollar (zero dec) 3" xfId="4504"/>
    <cellStyle name="Dollar (zero dec) 4" xfId="4505"/>
    <cellStyle name="Dollar (zero dec) 5" xfId="4506"/>
    <cellStyle name="Dollar (zero dec) 6" xfId="4507"/>
    <cellStyle name="Dollar (zero dec) 7" xfId="4508"/>
    <cellStyle name="Dollar (zero dec) 8" xfId="4509"/>
    <cellStyle name="Dollar (zero dec) 9" xfId="4510"/>
    <cellStyle name="Don gia" xfId="4511"/>
    <cellStyle name="Dziesi?tny [0]_Invoices2001Slovakia" xfId="806"/>
    <cellStyle name="Dziesi?tny_Invoices2001Slovakia" xfId="807"/>
    <cellStyle name="Dziesietny [0]_Invoices2001Slovakia" xfId="808"/>
    <cellStyle name="Dziesiętny [0]_Invoices2001Slovakia" xfId="809"/>
    <cellStyle name="Dziesietny [0]_Invoices2001Slovakia 10" xfId="810"/>
    <cellStyle name="Dziesiętny [0]_Invoices2001Slovakia 10" xfId="811"/>
    <cellStyle name="Dziesietny [0]_Invoices2001Slovakia 11" xfId="812"/>
    <cellStyle name="Dziesiętny [0]_Invoices2001Slovakia 11" xfId="813"/>
    <cellStyle name="Dziesietny [0]_Invoices2001Slovakia 12" xfId="814"/>
    <cellStyle name="Dziesiętny [0]_Invoices2001Slovakia 12" xfId="815"/>
    <cellStyle name="Dziesietny [0]_Invoices2001Slovakia 13" xfId="816"/>
    <cellStyle name="Dziesiętny [0]_Invoices2001Slovakia 13" xfId="817"/>
    <cellStyle name="Dziesietny [0]_Invoices2001Slovakia 14" xfId="818"/>
    <cellStyle name="Dziesiętny [0]_Invoices2001Slovakia 14" xfId="819"/>
    <cellStyle name="Dziesietny [0]_Invoices2001Slovakia 15" xfId="820"/>
    <cellStyle name="Dziesiętny [0]_Invoices2001Slovakia 15" xfId="821"/>
    <cellStyle name="Dziesietny [0]_Invoices2001Slovakia 16" xfId="822"/>
    <cellStyle name="Dziesiętny [0]_Invoices2001Slovakia 16" xfId="823"/>
    <cellStyle name="Dziesietny [0]_Invoices2001Slovakia 17" xfId="824"/>
    <cellStyle name="Dziesiętny [0]_Invoices2001Slovakia 17" xfId="825"/>
    <cellStyle name="Dziesietny [0]_Invoices2001Slovakia 18" xfId="826"/>
    <cellStyle name="Dziesiętny [0]_Invoices2001Slovakia 18" xfId="827"/>
    <cellStyle name="Dziesietny [0]_Invoices2001Slovakia 2" xfId="828"/>
    <cellStyle name="Dziesiętny [0]_Invoices2001Slovakia 2" xfId="829"/>
    <cellStyle name="Dziesietny [0]_Invoices2001Slovakia 3" xfId="830"/>
    <cellStyle name="Dziesiętny [0]_Invoices2001Slovakia 3" xfId="831"/>
    <cellStyle name="Dziesietny [0]_Invoices2001Slovakia 4" xfId="832"/>
    <cellStyle name="Dziesiętny [0]_Invoices2001Slovakia 4" xfId="833"/>
    <cellStyle name="Dziesietny [0]_Invoices2001Slovakia 5" xfId="834"/>
    <cellStyle name="Dziesiętny [0]_Invoices2001Slovakia 5" xfId="835"/>
    <cellStyle name="Dziesietny [0]_Invoices2001Slovakia 6" xfId="836"/>
    <cellStyle name="Dziesiętny [0]_Invoices2001Slovakia 6" xfId="837"/>
    <cellStyle name="Dziesietny [0]_Invoices2001Slovakia 7" xfId="838"/>
    <cellStyle name="Dziesiętny [0]_Invoices2001Slovakia 7" xfId="839"/>
    <cellStyle name="Dziesietny [0]_Invoices2001Slovakia 8" xfId="840"/>
    <cellStyle name="Dziesiętny [0]_Invoices2001Slovakia 8" xfId="841"/>
    <cellStyle name="Dziesietny [0]_Invoices2001Slovakia 9" xfId="842"/>
    <cellStyle name="Dziesiętny [0]_Invoices2001Slovakia 9" xfId="843"/>
    <cellStyle name="Dziesietny [0]_Invoices2001Slovakia_01_Nha so 1_Dien" xfId="4512"/>
    <cellStyle name="Dziesiętny [0]_Invoices2001Slovakia_01_Nha so 1_Dien" xfId="4513"/>
    <cellStyle name="Dziesietny [0]_Invoices2001Slovakia_05-12  KH trung han 2016-2020 - Liem Thinh edited" xfId="4514"/>
    <cellStyle name="Dziesiętny [0]_Invoices2001Slovakia_05-12  KH trung han 2016-2020 - Liem Thinh edited" xfId="4515"/>
    <cellStyle name="Dziesietny [0]_Invoices2001Slovakia_10_Nha so 10_Dien1" xfId="4516"/>
    <cellStyle name="Dziesiętny [0]_Invoices2001Slovakia_10_Nha so 10_Dien1" xfId="4517"/>
    <cellStyle name="Dziesietny [0]_Invoices2001Slovakia_Book1" xfId="844"/>
    <cellStyle name="Dziesiętny [0]_Invoices2001Slovakia_Book1" xfId="845"/>
    <cellStyle name="Dziesietny [0]_Invoices2001Slovakia_Book1 10" xfId="846"/>
    <cellStyle name="Dziesiętny [0]_Invoices2001Slovakia_Book1 10" xfId="847"/>
    <cellStyle name="Dziesietny [0]_Invoices2001Slovakia_Book1 11" xfId="848"/>
    <cellStyle name="Dziesiętny [0]_Invoices2001Slovakia_Book1 11" xfId="849"/>
    <cellStyle name="Dziesietny [0]_Invoices2001Slovakia_Book1 12" xfId="850"/>
    <cellStyle name="Dziesiętny [0]_Invoices2001Slovakia_Book1 12" xfId="851"/>
    <cellStyle name="Dziesietny [0]_Invoices2001Slovakia_Book1 13" xfId="852"/>
    <cellStyle name="Dziesiętny [0]_Invoices2001Slovakia_Book1 13" xfId="853"/>
    <cellStyle name="Dziesietny [0]_Invoices2001Slovakia_Book1 14" xfId="854"/>
    <cellStyle name="Dziesiętny [0]_Invoices2001Slovakia_Book1 14" xfId="855"/>
    <cellStyle name="Dziesietny [0]_Invoices2001Slovakia_Book1 15" xfId="856"/>
    <cellStyle name="Dziesiętny [0]_Invoices2001Slovakia_Book1 15" xfId="857"/>
    <cellStyle name="Dziesietny [0]_Invoices2001Slovakia_Book1 16" xfId="858"/>
    <cellStyle name="Dziesiętny [0]_Invoices2001Slovakia_Book1 16" xfId="859"/>
    <cellStyle name="Dziesietny [0]_Invoices2001Slovakia_Book1 17" xfId="860"/>
    <cellStyle name="Dziesiętny [0]_Invoices2001Slovakia_Book1 17" xfId="861"/>
    <cellStyle name="Dziesietny [0]_Invoices2001Slovakia_Book1 18" xfId="862"/>
    <cellStyle name="Dziesiętny [0]_Invoices2001Slovakia_Book1 18" xfId="863"/>
    <cellStyle name="Dziesietny [0]_Invoices2001Slovakia_Book1 2" xfId="864"/>
    <cellStyle name="Dziesiętny [0]_Invoices2001Slovakia_Book1 2" xfId="865"/>
    <cellStyle name="Dziesietny [0]_Invoices2001Slovakia_Book1 3" xfId="866"/>
    <cellStyle name="Dziesiętny [0]_Invoices2001Slovakia_Book1 3" xfId="867"/>
    <cellStyle name="Dziesietny [0]_Invoices2001Slovakia_Book1 4" xfId="868"/>
    <cellStyle name="Dziesiętny [0]_Invoices2001Slovakia_Book1 4" xfId="869"/>
    <cellStyle name="Dziesietny [0]_Invoices2001Slovakia_Book1 5" xfId="870"/>
    <cellStyle name="Dziesiętny [0]_Invoices2001Slovakia_Book1 5" xfId="871"/>
    <cellStyle name="Dziesietny [0]_Invoices2001Slovakia_Book1 6" xfId="872"/>
    <cellStyle name="Dziesiętny [0]_Invoices2001Slovakia_Book1 6" xfId="873"/>
    <cellStyle name="Dziesietny [0]_Invoices2001Slovakia_Book1 7" xfId="874"/>
    <cellStyle name="Dziesiętny [0]_Invoices2001Slovakia_Book1 7" xfId="875"/>
    <cellStyle name="Dziesietny [0]_Invoices2001Slovakia_Book1 8" xfId="876"/>
    <cellStyle name="Dziesiętny [0]_Invoices2001Slovakia_Book1 8" xfId="877"/>
    <cellStyle name="Dziesietny [0]_Invoices2001Slovakia_Book1 9" xfId="878"/>
    <cellStyle name="Dziesiętny [0]_Invoices2001Slovakia_Book1 9" xfId="879"/>
    <cellStyle name="Dziesietny [0]_Invoices2001Slovakia_Book1_1" xfId="4518"/>
    <cellStyle name="Dziesiętny [0]_Invoices2001Slovakia_Book1_1" xfId="4519"/>
    <cellStyle name="Dziesietny [0]_Invoices2001Slovakia_Book1_1_Book1" xfId="4520"/>
    <cellStyle name="Dziesiętny [0]_Invoices2001Slovakia_Book1_1_Book1" xfId="4521"/>
    <cellStyle name="Dziesietny [0]_Invoices2001Slovakia_Book1_2" xfId="4522"/>
    <cellStyle name="Dziesiętny [0]_Invoices2001Slovakia_Book1_2" xfId="4523"/>
    <cellStyle name="Dziesietny [0]_Invoices2001Slovakia_Book1_Nhu cau von ung truoc 2011 Tha h Hoa + Nge An gui TW" xfId="4524"/>
    <cellStyle name="Dziesiętny [0]_Invoices2001Slovakia_Book1_Nhu cau von ung truoc 2011 Tha h Hoa + Nge An gui TW" xfId="4525"/>
    <cellStyle name="Dziesietny [0]_Invoices2001Slovakia_Book1_Tong hop Cac tuyen(9-1-06)" xfId="880"/>
    <cellStyle name="Dziesiętny [0]_Invoices2001Slovakia_Book1_Tong hop Cac tuyen(9-1-06)" xfId="881"/>
    <cellStyle name="Dziesietny [0]_Invoices2001Slovakia_Book1_Tong hop Cac tuyen(9-1-06) 10" xfId="882"/>
    <cellStyle name="Dziesiętny [0]_Invoices2001Slovakia_Book1_Tong hop Cac tuyen(9-1-06) 10" xfId="883"/>
    <cellStyle name="Dziesietny [0]_Invoices2001Slovakia_Book1_Tong hop Cac tuyen(9-1-06) 11" xfId="884"/>
    <cellStyle name="Dziesiętny [0]_Invoices2001Slovakia_Book1_Tong hop Cac tuyen(9-1-06) 11" xfId="885"/>
    <cellStyle name="Dziesietny [0]_Invoices2001Slovakia_Book1_Tong hop Cac tuyen(9-1-06) 12" xfId="886"/>
    <cellStyle name="Dziesiętny [0]_Invoices2001Slovakia_Book1_Tong hop Cac tuyen(9-1-06) 12" xfId="887"/>
    <cellStyle name="Dziesietny [0]_Invoices2001Slovakia_Book1_Tong hop Cac tuyen(9-1-06) 13" xfId="888"/>
    <cellStyle name="Dziesiętny [0]_Invoices2001Slovakia_Book1_Tong hop Cac tuyen(9-1-06) 13" xfId="889"/>
    <cellStyle name="Dziesietny [0]_Invoices2001Slovakia_Book1_Tong hop Cac tuyen(9-1-06) 14" xfId="890"/>
    <cellStyle name="Dziesiętny [0]_Invoices2001Slovakia_Book1_Tong hop Cac tuyen(9-1-06) 14" xfId="891"/>
    <cellStyle name="Dziesietny [0]_Invoices2001Slovakia_Book1_Tong hop Cac tuyen(9-1-06) 15" xfId="892"/>
    <cellStyle name="Dziesiętny [0]_Invoices2001Slovakia_Book1_Tong hop Cac tuyen(9-1-06) 15" xfId="893"/>
    <cellStyle name="Dziesietny [0]_Invoices2001Slovakia_Book1_Tong hop Cac tuyen(9-1-06) 16" xfId="894"/>
    <cellStyle name="Dziesiętny [0]_Invoices2001Slovakia_Book1_Tong hop Cac tuyen(9-1-06) 16" xfId="895"/>
    <cellStyle name="Dziesietny [0]_Invoices2001Slovakia_Book1_Tong hop Cac tuyen(9-1-06) 17" xfId="896"/>
    <cellStyle name="Dziesiętny [0]_Invoices2001Slovakia_Book1_Tong hop Cac tuyen(9-1-06) 17" xfId="897"/>
    <cellStyle name="Dziesietny [0]_Invoices2001Slovakia_Book1_Tong hop Cac tuyen(9-1-06) 18" xfId="898"/>
    <cellStyle name="Dziesiętny [0]_Invoices2001Slovakia_Book1_Tong hop Cac tuyen(9-1-06) 18" xfId="899"/>
    <cellStyle name="Dziesietny [0]_Invoices2001Slovakia_Book1_Tong hop Cac tuyen(9-1-06) 2" xfId="900"/>
    <cellStyle name="Dziesiętny [0]_Invoices2001Slovakia_Book1_Tong hop Cac tuyen(9-1-06) 2" xfId="901"/>
    <cellStyle name="Dziesietny [0]_Invoices2001Slovakia_Book1_Tong hop Cac tuyen(9-1-06) 3" xfId="902"/>
    <cellStyle name="Dziesiętny [0]_Invoices2001Slovakia_Book1_Tong hop Cac tuyen(9-1-06) 3" xfId="903"/>
    <cellStyle name="Dziesietny [0]_Invoices2001Slovakia_Book1_Tong hop Cac tuyen(9-1-06) 4" xfId="904"/>
    <cellStyle name="Dziesiętny [0]_Invoices2001Slovakia_Book1_Tong hop Cac tuyen(9-1-06) 4" xfId="905"/>
    <cellStyle name="Dziesietny [0]_Invoices2001Slovakia_Book1_Tong hop Cac tuyen(9-1-06) 5" xfId="906"/>
    <cellStyle name="Dziesiętny [0]_Invoices2001Slovakia_Book1_Tong hop Cac tuyen(9-1-06) 5" xfId="907"/>
    <cellStyle name="Dziesietny [0]_Invoices2001Slovakia_Book1_Tong hop Cac tuyen(9-1-06) 6" xfId="908"/>
    <cellStyle name="Dziesiętny [0]_Invoices2001Slovakia_Book1_Tong hop Cac tuyen(9-1-06) 6" xfId="909"/>
    <cellStyle name="Dziesietny [0]_Invoices2001Slovakia_Book1_Tong hop Cac tuyen(9-1-06) 7" xfId="910"/>
    <cellStyle name="Dziesiętny [0]_Invoices2001Slovakia_Book1_Tong hop Cac tuyen(9-1-06) 7" xfId="911"/>
    <cellStyle name="Dziesietny [0]_Invoices2001Slovakia_Book1_Tong hop Cac tuyen(9-1-06) 8" xfId="912"/>
    <cellStyle name="Dziesiętny [0]_Invoices2001Slovakia_Book1_Tong hop Cac tuyen(9-1-06) 8" xfId="913"/>
    <cellStyle name="Dziesietny [0]_Invoices2001Slovakia_Book1_Tong hop Cac tuyen(9-1-06) 9" xfId="914"/>
    <cellStyle name="Dziesiętny [0]_Invoices2001Slovakia_Book1_Tong hop Cac tuyen(9-1-06) 9" xfId="915"/>
    <cellStyle name="Dziesietny [0]_Invoices2001Slovakia_Book1_ung truoc 2011 NSTW Thanh Hoa + Nge An gui Thu 12-5" xfId="4526"/>
    <cellStyle name="Dziesiętny [0]_Invoices2001Slovakia_Book1_ung truoc 2011 NSTW Thanh Hoa + Nge An gui Thu 12-5" xfId="4527"/>
    <cellStyle name="Dziesietny [0]_Invoices2001Slovakia_Copy of 05-12  KH trung han 2016-2020 - Liem Thinh edited (1)" xfId="4528"/>
    <cellStyle name="Dziesiętny [0]_Invoices2001Slovakia_Copy of 05-12  KH trung han 2016-2020 - Liem Thinh edited (1)" xfId="4529"/>
    <cellStyle name="Dziesietny [0]_Invoices2001Slovakia_d-uong+TDT" xfId="4530"/>
    <cellStyle name="Dziesiętny [0]_Invoices2001Slovakia_KH TPCP 2016-2020 (tong hop)" xfId="4531"/>
    <cellStyle name="Dziesietny [0]_Invoices2001Slovakia_NHA de xe nguyen du" xfId="4532"/>
    <cellStyle name="Dziesiętny [0]_Invoices2001Slovakia_NHA de xe nguyen du" xfId="4533"/>
    <cellStyle name="Dziesietny [0]_Invoices2001Slovakia_Nhalamviec VTC(25-1-05)" xfId="4534"/>
    <cellStyle name="Dziesiętny [0]_Invoices2001Slovakia_Nhalamviec VTC(25-1-05)" xfId="916"/>
    <cellStyle name="Dziesietny [0]_Invoices2001Slovakia_Nhu cau von ung truoc 2011 Tha h Hoa + Nge An gui TW" xfId="4535"/>
    <cellStyle name="Dziesiętny [0]_Invoices2001Slovakia_TDT KHANH HOA" xfId="917"/>
    <cellStyle name="Dziesietny [0]_Invoices2001Slovakia_TDT KHANH HOA 10" xfId="918"/>
    <cellStyle name="Dziesiętny [0]_Invoices2001Slovakia_TDT KHANH HOA 10" xfId="919"/>
    <cellStyle name="Dziesietny [0]_Invoices2001Slovakia_TDT KHANH HOA 11" xfId="920"/>
    <cellStyle name="Dziesiętny [0]_Invoices2001Slovakia_TDT KHANH HOA 11" xfId="921"/>
    <cellStyle name="Dziesietny [0]_Invoices2001Slovakia_TDT KHANH HOA 12" xfId="922"/>
    <cellStyle name="Dziesiętny [0]_Invoices2001Slovakia_TDT KHANH HOA 12" xfId="923"/>
    <cellStyle name="Dziesietny [0]_Invoices2001Slovakia_TDT KHANH HOA 13" xfId="924"/>
    <cellStyle name="Dziesiętny [0]_Invoices2001Slovakia_TDT KHANH HOA 13" xfId="925"/>
    <cellStyle name="Dziesietny [0]_Invoices2001Slovakia_TDT KHANH HOA 14" xfId="926"/>
    <cellStyle name="Dziesiętny [0]_Invoices2001Slovakia_TDT KHANH HOA 14" xfId="927"/>
    <cellStyle name="Dziesietny [0]_Invoices2001Slovakia_TDT KHANH HOA 15" xfId="928"/>
    <cellStyle name="Dziesiętny [0]_Invoices2001Slovakia_TDT KHANH HOA 15" xfId="929"/>
    <cellStyle name="Dziesietny [0]_Invoices2001Slovakia_TDT KHANH HOA 16" xfId="930"/>
    <cellStyle name="Dziesiętny [0]_Invoices2001Slovakia_TDT KHANH HOA 16" xfId="931"/>
    <cellStyle name="Dziesietny [0]_Invoices2001Slovakia_TDT KHANH HOA 17" xfId="932"/>
    <cellStyle name="Dziesiętny [0]_Invoices2001Slovakia_TDT KHANH HOA 17" xfId="933"/>
    <cellStyle name="Dziesietny [0]_Invoices2001Slovakia_TDT KHANH HOA 18" xfId="934"/>
    <cellStyle name="Dziesiętny [0]_Invoices2001Slovakia_TDT KHANH HOA 18" xfId="935"/>
    <cellStyle name="Dziesietny [0]_Invoices2001Slovakia_TDT KHANH HOA 2" xfId="936"/>
    <cellStyle name="Dziesiętny [0]_Invoices2001Slovakia_TDT KHANH HOA 2" xfId="937"/>
    <cellStyle name="Dziesietny [0]_Invoices2001Slovakia_TDT KHANH HOA 3" xfId="938"/>
    <cellStyle name="Dziesiętny [0]_Invoices2001Slovakia_TDT KHANH HOA 3" xfId="939"/>
    <cellStyle name="Dziesietny [0]_Invoices2001Slovakia_TDT KHANH HOA 4" xfId="940"/>
    <cellStyle name="Dziesiętny [0]_Invoices2001Slovakia_TDT KHANH HOA 4" xfId="941"/>
    <cellStyle name="Dziesietny [0]_Invoices2001Slovakia_TDT KHANH HOA 5" xfId="942"/>
    <cellStyle name="Dziesiętny [0]_Invoices2001Slovakia_TDT KHANH HOA 5" xfId="943"/>
    <cellStyle name="Dziesietny [0]_Invoices2001Slovakia_TDT KHANH HOA 6" xfId="944"/>
    <cellStyle name="Dziesiętny [0]_Invoices2001Slovakia_TDT KHANH HOA 6" xfId="945"/>
    <cellStyle name="Dziesietny [0]_Invoices2001Slovakia_TDT KHANH HOA 7" xfId="946"/>
    <cellStyle name="Dziesiętny [0]_Invoices2001Slovakia_TDT KHANH HOA 7" xfId="947"/>
    <cellStyle name="Dziesietny [0]_Invoices2001Slovakia_TDT KHANH HOA 8" xfId="948"/>
    <cellStyle name="Dziesiętny [0]_Invoices2001Slovakia_TDT KHANH HOA 8" xfId="949"/>
    <cellStyle name="Dziesietny [0]_Invoices2001Slovakia_TDT KHANH HOA 9" xfId="950"/>
    <cellStyle name="Dziesiętny [0]_Invoices2001Slovakia_TDT KHANH HOA 9" xfId="951"/>
    <cellStyle name="Dziesietny [0]_Invoices2001Slovakia_TDT KHANH HOA_Tong hop Cac tuyen(9-1-06)" xfId="952"/>
    <cellStyle name="Dziesiętny [0]_Invoices2001Slovakia_TDT KHANH HOA_Tong hop Cac tuyen(9-1-06)" xfId="953"/>
    <cellStyle name="Dziesietny [0]_Invoices2001Slovakia_TDT KHANH HOA_Tong hop Cac tuyen(9-1-06) 10" xfId="954"/>
    <cellStyle name="Dziesiętny [0]_Invoices2001Slovakia_TDT KHANH HOA_Tong hop Cac tuyen(9-1-06) 10" xfId="955"/>
    <cellStyle name="Dziesietny [0]_Invoices2001Slovakia_TDT KHANH HOA_Tong hop Cac tuyen(9-1-06) 11" xfId="956"/>
    <cellStyle name="Dziesiętny [0]_Invoices2001Slovakia_TDT KHANH HOA_Tong hop Cac tuyen(9-1-06) 11" xfId="957"/>
    <cellStyle name="Dziesietny [0]_Invoices2001Slovakia_TDT KHANH HOA_Tong hop Cac tuyen(9-1-06) 12" xfId="958"/>
    <cellStyle name="Dziesiętny [0]_Invoices2001Slovakia_TDT KHANH HOA_Tong hop Cac tuyen(9-1-06) 12" xfId="959"/>
    <cellStyle name="Dziesietny [0]_Invoices2001Slovakia_TDT KHANH HOA_Tong hop Cac tuyen(9-1-06) 13" xfId="960"/>
    <cellStyle name="Dziesiętny [0]_Invoices2001Slovakia_TDT KHANH HOA_Tong hop Cac tuyen(9-1-06) 13" xfId="961"/>
    <cellStyle name="Dziesietny [0]_Invoices2001Slovakia_TDT KHANH HOA_Tong hop Cac tuyen(9-1-06) 14" xfId="962"/>
    <cellStyle name="Dziesiętny [0]_Invoices2001Slovakia_TDT KHANH HOA_Tong hop Cac tuyen(9-1-06) 14" xfId="963"/>
    <cellStyle name="Dziesietny [0]_Invoices2001Slovakia_TDT KHANH HOA_Tong hop Cac tuyen(9-1-06) 15" xfId="964"/>
    <cellStyle name="Dziesiętny [0]_Invoices2001Slovakia_TDT KHANH HOA_Tong hop Cac tuyen(9-1-06) 15" xfId="965"/>
    <cellStyle name="Dziesietny [0]_Invoices2001Slovakia_TDT KHANH HOA_Tong hop Cac tuyen(9-1-06) 16" xfId="966"/>
    <cellStyle name="Dziesiętny [0]_Invoices2001Slovakia_TDT KHANH HOA_Tong hop Cac tuyen(9-1-06) 16" xfId="967"/>
    <cellStyle name="Dziesietny [0]_Invoices2001Slovakia_TDT KHANH HOA_Tong hop Cac tuyen(9-1-06) 17" xfId="968"/>
    <cellStyle name="Dziesiętny [0]_Invoices2001Slovakia_TDT KHANH HOA_Tong hop Cac tuyen(9-1-06) 17" xfId="969"/>
    <cellStyle name="Dziesietny [0]_Invoices2001Slovakia_TDT KHANH HOA_Tong hop Cac tuyen(9-1-06) 18" xfId="970"/>
    <cellStyle name="Dziesiętny [0]_Invoices2001Slovakia_TDT KHANH HOA_Tong hop Cac tuyen(9-1-06) 18" xfId="971"/>
    <cellStyle name="Dziesietny [0]_Invoices2001Slovakia_TDT KHANH HOA_Tong hop Cac tuyen(9-1-06) 2" xfId="972"/>
    <cellStyle name="Dziesiętny [0]_Invoices2001Slovakia_TDT KHANH HOA_Tong hop Cac tuyen(9-1-06) 2" xfId="973"/>
    <cellStyle name="Dziesietny [0]_Invoices2001Slovakia_TDT KHANH HOA_Tong hop Cac tuyen(9-1-06) 3" xfId="974"/>
    <cellStyle name="Dziesiętny [0]_Invoices2001Slovakia_TDT KHANH HOA_Tong hop Cac tuyen(9-1-06) 3" xfId="975"/>
    <cellStyle name="Dziesietny [0]_Invoices2001Slovakia_TDT KHANH HOA_Tong hop Cac tuyen(9-1-06) 4" xfId="976"/>
    <cellStyle name="Dziesiętny [0]_Invoices2001Slovakia_TDT KHANH HOA_Tong hop Cac tuyen(9-1-06) 4" xfId="977"/>
    <cellStyle name="Dziesietny [0]_Invoices2001Slovakia_TDT KHANH HOA_Tong hop Cac tuyen(9-1-06) 5" xfId="978"/>
    <cellStyle name="Dziesiętny [0]_Invoices2001Slovakia_TDT KHANH HOA_Tong hop Cac tuyen(9-1-06) 5" xfId="979"/>
    <cellStyle name="Dziesietny [0]_Invoices2001Slovakia_TDT KHANH HOA_Tong hop Cac tuyen(9-1-06) 6" xfId="980"/>
    <cellStyle name="Dziesiętny [0]_Invoices2001Slovakia_TDT KHANH HOA_Tong hop Cac tuyen(9-1-06) 6" xfId="981"/>
    <cellStyle name="Dziesietny [0]_Invoices2001Slovakia_TDT KHANH HOA_Tong hop Cac tuyen(9-1-06) 7" xfId="982"/>
    <cellStyle name="Dziesiętny [0]_Invoices2001Slovakia_TDT KHANH HOA_Tong hop Cac tuyen(9-1-06) 7" xfId="983"/>
    <cellStyle name="Dziesietny [0]_Invoices2001Slovakia_TDT KHANH HOA_Tong hop Cac tuyen(9-1-06) 8" xfId="984"/>
    <cellStyle name="Dziesiętny [0]_Invoices2001Slovakia_TDT KHANH HOA_Tong hop Cac tuyen(9-1-06) 8" xfId="985"/>
    <cellStyle name="Dziesietny [0]_Invoices2001Slovakia_TDT KHANH HOA_Tong hop Cac tuyen(9-1-06) 9" xfId="986"/>
    <cellStyle name="Dziesiętny [0]_Invoices2001Slovakia_TDT KHANH HOA_Tong hop Cac tuyen(9-1-06) 9" xfId="987"/>
    <cellStyle name="Dziesietny [0]_Invoices2001Slovakia_TDT quangngai" xfId="988"/>
    <cellStyle name="Dziesiętny [0]_Invoices2001Slovakia_TDT quangngai" xfId="989"/>
    <cellStyle name="Dziesietny [0]_Invoices2001Slovakia_TDT quangngai 10" xfId="990"/>
    <cellStyle name="Dziesiętny [0]_Invoices2001Slovakia_TDT quangngai 10" xfId="991"/>
    <cellStyle name="Dziesietny [0]_Invoices2001Slovakia_TDT quangngai 11" xfId="992"/>
    <cellStyle name="Dziesiętny [0]_Invoices2001Slovakia_TDT quangngai 11" xfId="993"/>
    <cellStyle name="Dziesietny [0]_Invoices2001Slovakia_TDT quangngai 12" xfId="994"/>
    <cellStyle name="Dziesiętny [0]_Invoices2001Slovakia_TDT quangngai 12" xfId="995"/>
    <cellStyle name="Dziesietny [0]_Invoices2001Slovakia_TDT quangngai 13" xfId="996"/>
    <cellStyle name="Dziesiętny [0]_Invoices2001Slovakia_TDT quangngai 13" xfId="997"/>
    <cellStyle name="Dziesietny [0]_Invoices2001Slovakia_TDT quangngai 14" xfId="998"/>
    <cellStyle name="Dziesiętny [0]_Invoices2001Slovakia_TDT quangngai 14" xfId="999"/>
    <cellStyle name="Dziesietny [0]_Invoices2001Slovakia_TDT quangngai 15" xfId="1000"/>
    <cellStyle name="Dziesiętny [0]_Invoices2001Slovakia_TDT quangngai 15" xfId="1001"/>
    <cellStyle name="Dziesietny [0]_Invoices2001Slovakia_TDT quangngai 16" xfId="1002"/>
    <cellStyle name="Dziesiętny [0]_Invoices2001Slovakia_TDT quangngai 16" xfId="1003"/>
    <cellStyle name="Dziesietny [0]_Invoices2001Slovakia_TDT quangngai 17" xfId="1004"/>
    <cellStyle name="Dziesiętny [0]_Invoices2001Slovakia_TDT quangngai 17" xfId="1005"/>
    <cellStyle name="Dziesietny [0]_Invoices2001Slovakia_TDT quangngai 18" xfId="1006"/>
    <cellStyle name="Dziesiętny [0]_Invoices2001Slovakia_TDT quangngai 18" xfId="1007"/>
    <cellStyle name="Dziesietny [0]_Invoices2001Slovakia_TDT quangngai 2" xfId="1008"/>
    <cellStyle name="Dziesiętny [0]_Invoices2001Slovakia_TDT quangngai 2" xfId="1009"/>
    <cellStyle name="Dziesietny [0]_Invoices2001Slovakia_TDT quangngai 3" xfId="1010"/>
    <cellStyle name="Dziesiętny [0]_Invoices2001Slovakia_TDT quangngai 3" xfId="1011"/>
    <cellStyle name="Dziesietny [0]_Invoices2001Slovakia_TDT quangngai 4" xfId="1012"/>
    <cellStyle name="Dziesiętny [0]_Invoices2001Slovakia_TDT quangngai 4" xfId="1013"/>
    <cellStyle name="Dziesietny [0]_Invoices2001Slovakia_TDT quangngai 5" xfId="1014"/>
    <cellStyle name="Dziesiętny [0]_Invoices2001Slovakia_TDT quangngai 5" xfId="1015"/>
    <cellStyle name="Dziesietny [0]_Invoices2001Slovakia_TDT quangngai 6" xfId="1016"/>
    <cellStyle name="Dziesiętny [0]_Invoices2001Slovakia_TDT quangngai 6" xfId="1017"/>
    <cellStyle name="Dziesietny [0]_Invoices2001Slovakia_TDT quangngai 7" xfId="1018"/>
    <cellStyle name="Dziesiętny [0]_Invoices2001Slovakia_TDT quangngai 7" xfId="1019"/>
    <cellStyle name="Dziesietny [0]_Invoices2001Slovakia_TDT quangngai 8" xfId="1020"/>
    <cellStyle name="Dziesiętny [0]_Invoices2001Slovakia_TDT quangngai 8" xfId="1021"/>
    <cellStyle name="Dziesietny [0]_Invoices2001Slovakia_TDT quangngai 9" xfId="1022"/>
    <cellStyle name="Dziesiętny [0]_Invoices2001Slovakia_TDT quangngai 9" xfId="1023"/>
    <cellStyle name="Dziesietny [0]_Invoices2001Slovakia_TMDT(10-5-06)" xfId="4536"/>
    <cellStyle name="Dziesietny_Invoices2001Slovakia" xfId="1024"/>
    <cellStyle name="Dziesiętny_Invoices2001Slovakia" xfId="1025"/>
    <cellStyle name="Dziesietny_Invoices2001Slovakia 10" xfId="1026"/>
    <cellStyle name="Dziesiętny_Invoices2001Slovakia 10" xfId="1027"/>
    <cellStyle name="Dziesietny_Invoices2001Slovakia 11" xfId="1028"/>
    <cellStyle name="Dziesiętny_Invoices2001Slovakia 11" xfId="1029"/>
    <cellStyle name="Dziesietny_Invoices2001Slovakia 12" xfId="1030"/>
    <cellStyle name="Dziesiętny_Invoices2001Slovakia 12" xfId="1031"/>
    <cellStyle name="Dziesietny_Invoices2001Slovakia 13" xfId="1032"/>
    <cellStyle name="Dziesiętny_Invoices2001Slovakia 13" xfId="1033"/>
    <cellStyle name="Dziesietny_Invoices2001Slovakia 14" xfId="1034"/>
    <cellStyle name="Dziesiętny_Invoices2001Slovakia 14" xfId="1035"/>
    <cellStyle name="Dziesietny_Invoices2001Slovakia 15" xfId="1036"/>
    <cellStyle name="Dziesiętny_Invoices2001Slovakia 15" xfId="1037"/>
    <cellStyle name="Dziesietny_Invoices2001Slovakia 16" xfId="1038"/>
    <cellStyle name="Dziesiętny_Invoices2001Slovakia 16" xfId="1039"/>
    <cellStyle name="Dziesietny_Invoices2001Slovakia 17" xfId="1040"/>
    <cellStyle name="Dziesiętny_Invoices2001Slovakia 17" xfId="1041"/>
    <cellStyle name="Dziesietny_Invoices2001Slovakia 18" xfId="1042"/>
    <cellStyle name="Dziesiętny_Invoices2001Slovakia 18" xfId="1043"/>
    <cellStyle name="Dziesietny_Invoices2001Slovakia 2" xfId="1044"/>
    <cellStyle name="Dziesiętny_Invoices2001Slovakia 2" xfId="1045"/>
    <cellStyle name="Dziesietny_Invoices2001Slovakia 3" xfId="1046"/>
    <cellStyle name="Dziesiętny_Invoices2001Slovakia 3" xfId="1047"/>
    <cellStyle name="Dziesietny_Invoices2001Slovakia 4" xfId="1048"/>
    <cellStyle name="Dziesiętny_Invoices2001Slovakia 4" xfId="1049"/>
    <cellStyle name="Dziesietny_Invoices2001Slovakia 5" xfId="1050"/>
    <cellStyle name="Dziesiętny_Invoices2001Slovakia 5" xfId="1051"/>
    <cellStyle name="Dziesietny_Invoices2001Slovakia 6" xfId="1052"/>
    <cellStyle name="Dziesiętny_Invoices2001Slovakia 6" xfId="1053"/>
    <cellStyle name="Dziesietny_Invoices2001Slovakia 7" xfId="1054"/>
    <cellStyle name="Dziesiętny_Invoices2001Slovakia 7" xfId="1055"/>
    <cellStyle name="Dziesietny_Invoices2001Slovakia 8" xfId="1056"/>
    <cellStyle name="Dziesiętny_Invoices2001Slovakia 8" xfId="1057"/>
    <cellStyle name="Dziesietny_Invoices2001Slovakia 9" xfId="1058"/>
    <cellStyle name="Dziesiętny_Invoices2001Slovakia 9" xfId="1059"/>
    <cellStyle name="Dziesietny_Invoices2001Slovakia_01_Nha so 1_Dien" xfId="4537"/>
    <cellStyle name="Dziesiętny_Invoices2001Slovakia_01_Nha so 1_Dien" xfId="4538"/>
    <cellStyle name="Dziesietny_Invoices2001Slovakia_05-12  KH trung han 2016-2020 - Liem Thinh edited" xfId="4539"/>
    <cellStyle name="Dziesiętny_Invoices2001Slovakia_05-12  KH trung han 2016-2020 - Liem Thinh edited" xfId="4540"/>
    <cellStyle name="Dziesietny_Invoices2001Slovakia_10_Nha so 10_Dien1" xfId="4541"/>
    <cellStyle name="Dziesiętny_Invoices2001Slovakia_10_Nha so 10_Dien1" xfId="4542"/>
    <cellStyle name="Dziesietny_Invoices2001Slovakia_Book1" xfId="1060"/>
    <cellStyle name="Dziesiętny_Invoices2001Slovakia_Book1" xfId="1061"/>
    <cellStyle name="Dziesietny_Invoices2001Slovakia_Book1 10" xfId="1062"/>
    <cellStyle name="Dziesiętny_Invoices2001Slovakia_Book1 10" xfId="1063"/>
    <cellStyle name="Dziesietny_Invoices2001Slovakia_Book1 11" xfId="1064"/>
    <cellStyle name="Dziesiętny_Invoices2001Slovakia_Book1 11" xfId="1065"/>
    <cellStyle name="Dziesietny_Invoices2001Slovakia_Book1 12" xfId="1066"/>
    <cellStyle name="Dziesiętny_Invoices2001Slovakia_Book1 12" xfId="1067"/>
    <cellStyle name="Dziesietny_Invoices2001Slovakia_Book1 13" xfId="1068"/>
    <cellStyle name="Dziesiętny_Invoices2001Slovakia_Book1 13" xfId="1069"/>
    <cellStyle name="Dziesietny_Invoices2001Slovakia_Book1 14" xfId="1070"/>
    <cellStyle name="Dziesiętny_Invoices2001Slovakia_Book1 14" xfId="1071"/>
    <cellStyle name="Dziesietny_Invoices2001Slovakia_Book1 15" xfId="1072"/>
    <cellStyle name="Dziesiętny_Invoices2001Slovakia_Book1 15" xfId="1073"/>
    <cellStyle name="Dziesietny_Invoices2001Slovakia_Book1 16" xfId="1074"/>
    <cellStyle name="Dziesiętny_Invoices2001Slovakia_Book1 16" xfId="1075"/>
    <cellStyle name="Dziesietny_Invoices2001Slovakia_Book1 17" xfId="1076"/>
    <cellStyle name="Dziesiętny_Invoices2001Slovakia_Book1 17" xfId="1077"/>
    <cellStyle name="Dziesietny_Invoices2001Slovakia_Book1 18" xfId="1078"/>
    <cellStyle name="Dziesiętny_Invoices2001Slovakia_Book1 18" xfId="1079"/>
    <cellStyle name="Dziesietny_Invoices2001Slovakia_Book1 2" xfId="1080"/>
    <cellStyle name="Dziesiętny_Invoices2001Slovakia_Book1 2" xfId="1081"/>
    <cellStyle name="Dziesietny_Invoices2001Slovakia_Book1 3" xfId="1082"/>
    <cellStyle name="Dziesiętny_Invoices2001Slovakia_Book1 3" xfId="1083"/>
    <cellStyle name="Dziesietny_Invoices2001Slovakia_Book1 4" xfId="1084"/>
    <cellStyle name="Dziesiętny_Invoices2001Slovakia_Book1 4" xfId="1085"/>
    <cellStyle name="Dziesietny_Invoices2001Slovakia_Book1 5" xfId="1086"/>
    <cellStyle name="Dziesiętny_Invoices2001Slovakia_Book1 5" xfId="1087"/>
    <cellStyle name="Dziesietny_Invoices2001Slovakia_Book1 6" xfId="1088"/>
    <cellStyle name="Dziesiętny_Invoices2001Slovakia_Book1 6" xfId="1089"/>
    <cellStyle name="Dziesietny_Invoices2001Slovakia_Book1 7" xfId="1090"/>
    <cellStyle name="Dziesiętny_Invoices2001Slovakia_Book1 7" xfId="1091"/>
    <cellStyle name="Dziesietny_Invoices2001Slovakia_Book1 8" xfId="1092"/>
    <cellStyle name="Dziesiętny_Invoices2001Slovakia_Book1 8" xfId="1093"/>
    <cellStyle name="Dziesietny_Invoices2001Slovakia_Book1 9" xfId="1094"/>
    <cellStyle name="Dziesiętny_Invoices2001Slovakia_Book1 9" xfId="1095"/>
    <cellStyle name="Dziesietny_Invoices2001Slovakia_Book1_1" xfId="4543"/>
    <cellStyle name="Dziesiętny_Invoices2001Slovakia_Book1_1" xfId="4544"/>
    <cellStyle name="Dziesietny_Invoices2001Slovakia_Book1_1_Book1" xfId="4545"/>
    <cellStyle name="Dziesiętny_Invoices2001Slovakia_Book1_1_Book1" xfId="4546"/>
    <cellStyle name="Dziesietny_Invoices2001Slovakia_Book1_2" xfId="4547"/>
    <cellStyle name="Dziesiętny_Invoices2001Slovakia_Book1_2" xfId="4548"/>
    <cellStyle name="Dziesietny_Invoices2001Slovakia_Book1_Nhu cau von ung truoc 2011 Tha h Hoa + Nge An gui TW" xfId="4549"/>
    <cellStyle name="Dziesiętny_Invoices2001Slovakia_Book1_Nhu cau von ung truoc 2011 Tha h Hoa + Nge An gui TW" xfId="4550"/>
    <cellStyle name="Dziesietny_Invoices2001Slovakia_Book1_Tong hop Cac tuyen(9-1-06)" xfId="1096"/>
    <cellStyle name="Dziesiętny_Invoices2001Slovakia_Book1_Tong hop Cac tuyen(9-1-06)" xfId="1097"/>
    <cellStyle name="Dziesietny_Invoices2001Slovakia_Book1_Tong hop Cac tuyen(9-1-06) 10" xfId="1098"/>
    <cellStyle name="Dziesiętny_Invoices2001Slovakia_Book1_Tong hop Cac tuyen(9-1-06) 10" xfId="1099"/>
    <cellStyle name="Dziesietny_Invoices2001Slovakia_Book1_Tong hop Cac tuyen(9-1-06) 11" xfId="1100"/>
    <cellStyle name="Dziesiętny_Invoices2001Slovakia_Book1_Tong hop Cac tuyen(9-1-06) 11" xfId="1101"/>
    <cellStyle name="Dziesietny_Invoices2001Slovakia_Book1_Tong hop Cac tuyen(9-1-06) 12" xfId="1102"/>
    <cellStyle name="Dziesiętny_Invoices2001Slovakia_Book1_Tong hop Cac tuyen(9-1-06) 12" xfId="1103"/>
    <cellStyle name="Dziesietny_Invoices2001Slovakia_Book1_Tong hop Cac tuyen(9-1-06) 13" xfId="1104"/>
    <cellStyle name="Dziesiętny_Invoices2001Slovakia_Book1_Tong hop Cac tuyen(9-1-06) 13" xfId="1105"/>
    <cellStyle name="Dziesietny_Invoices2001Slovakia_Book1_Tong hop Cac tuyen(9-1-06) 14" xfId="1106"/>
    <cellStyle name="Dziesiętny_Invoices2001Slovakia_Book1_Tong hop Cac tuyen(9-1-06) 14" xfId="1107"/>
    <cellStyle name="Dziesietny_Invoices2001Slovakia_Book1_Tong hop Cac tuyen(9-1-06) 15" xfId="1108"/>
    <cellStyle name="Dziesiętny_Invoices2001Slovakia_Book1_Tong hop Cac tuyen(9-1-06) 15" xfId="1109"/>
    <cellStyle name="Dziesietny_Invoices2001Slovakia_Book1_Tong hop Cac tuyen(9-1-06) 16" xfId="1110"/>
    <cellStyle name="Dziesiętny_Invoices2001Slovakia_Book1_Tong hop Cac tuyen(9-1-06) 16" xfId="1111"/>
    <cellStyle name="Dziesietny_Invoices2001Slovakia_Book1_Tong hop Cac tuyen(9-1-06) 17" xfId="1112"/>
    <cellStyle name="Dziesiętny_Invoices2001Slovakia_Book1_Tong hop Cac tuyen(9-1-06) 17" xfId="1113"/>
    <cellStyle name="Dziesietny_Invoices2001Slovakia_Book1_Tong hop Cac tuyen(9-1-06) 18" xfId="1114"/>
    <cellStyle name="Dziesiętny_Invoices2001Slovakia_Book1_Tong hop Cac tuyen(9-1-06) 18" xfId="1115"/>
    <cellStyle name="Dziesietny_Invoices2001Slovakia_Book1_Tong hop Cac tuyen(9-1-06) 2" xfId="1116"/>
    <cellStyle name="Dziesiętny_Invoices2001Slovakia_Book1_Tong hop Cac tuyen(9-1-06) 2" xfId="1117"/>
    <cellStyle name="Dziesietny_Invoices2001Slovakia_Book1_Tong hop Cac tuyen(9-1-06) 3" xfId="1118"/>
    <cellStyle name="Dziesiętny_Invoices2001Slovakia_Book1_Tong hop Cac tuyen(9-1-06) 3" xfId="1119"/>
    <cellStyle name="Dziesietny_Invoices2001Slovakia_Book1_Tong hop Cac tuyen(9-1-06) 4" xfId="1120"/>
    <cellStyle name="Dziesiętny_Invoices2001Slovakia_Book1_Tong hop Cac tuyen(9-1-06) 4" xfId="1121"/>
    <cellStyle name="Dziesietny_Invoices2001Slovakia_Book1_Tong hop Cac tuyen(9-1-06) 5" xfId="1122"/>
    <cellStyle name="Dziesiętny_Invoices2001Slovakia_Book1_Tong hop Cac tuyen(9-1-06) 5" xfId="1123"/>
    <cellStyle name="Dziesietny_Invoices2001Slovakia_Book1_Tong hop Cac tuyen(9-1-06) 6" xfId="1124"/>
    <cellStyle name="Dziesiętny_Invoices2001Slovakia_Book1_Tong hop Cac tuyen(9-1-06) 6" xfId="1125"/>
    <cellStyle name="Dziesietny_Invoices2001Slovakia_Book1_Tong hop Cac tuyen(9-1-06) 7" xfId="1126"/>
    <cellStyle name="Dziesiętny_Invoices2001Slovakia_Book1_Tong hop Cac tuyen(9-1-06) 7" xfId="1127"/>
    <cellStyle name="Dziesietny_Invoices2001Slovakia_Book1_Tong hop Cac tuyen(9-1-06) 8" xfId="1128"/>
    <cellStyle name="Dziesiętny_Invoices2001Slovakia_Book1_Tong hop Cac tuyen(9-1-06) 8" xfId="1129"/>
    <cellStyle name="Dziesietny_Invoices2001Slovakia_Book1_Tong hop Cac tuyen(9-1-06) 9" xfId="1130"/>
    <cellStyle name="Dziesiętny_Invoices2001Slovakia_Book1_Tong hop Cac tuyen(9-1-06) 9" xfId="1131"/>
    <cellStyle name="Dziesietny_Invoices2001Slovakia_Book1_ung truoc 2011 NSTW Thanh Hoa + Nge An gui Thu 12-5" xfId="4551"/>
    <cellStyle name="Dziesiętny_Invoices2001Slovakia_Book1_ung truoc 2011 NSTW Thanh Hoa + Nge An gui Thu 12-5" xfId="4552"/>
    <cellStyle name="Dziesietny_Invoices2001Slovakia_Copy of 05-12  KH trung han 2016-2020 - Liem Thinh edited (1)" xfId="4553"/>
    <cellStyle name="Dziesiętny_Invoices2001Slovakia_Copy of 05-12  KH trung han 2016-2020 - Liem Thinh edited (1)" xfId="4554"/>
    <cellStyle name="Dziesietny_Invoices2001Slovakia_d-uong+TDT" xfId="4555"/>
    <cellStyle name="Dziesiętny_Invoices2001Slovakia_KH TPCP 2016-2020 (tong hop)" xfId="4556"/>
    <cellStyle name="Dziesietny_Invoices2001Slovakia_NHA de xe nguyen du" xfId="4557"/>
    <cellStyle name="Dziesiętny_Invoices2001Slovakia_NHA de xe nguyen du" xfId="4558"/>
    <cellStyle name="Dziesietny_Invoices2001Slovakia_Nhalamviec VTC(25-1-05)" xfId="4559"/>
    <cellStyle name="Dziesiętny_Invoices2001Slovakia_Nhalamviec VTC(25-1-05)" xfId="1132"/>
    <cellStyle name="Dziesietny_Invoices2001Slovakia_Nhu cau von ung truoc 2011 Tha h Hoa + Nge An gui TW" xfId="4560"/>
    <cellStyle name="Dziesiętny_Invoices2001Slovakia_TDT KHANH HOA" xfId="1133"/>
    <cellStyle name="Dziesietny_Invoices2001Slovakia_TDT KHANH HOA 10" xfId="1134"/>
    <cellStyle name="Dziesiętny_Invoices2001Slovakia_TDT KHANH HOA 10" xfId="1135"/>
    <cellStyle name="Dziesietny_Invoices2001Slovakia_TDT KHANH HOA 11" xfId="1136"/>
    <cellStyle name="Dziesiętny_Invoices2001Slovakia_TDT KHANH HOA 11" xfId="1137"/>
    <cellStyle name="Dziesietny_Invoices2001Slovakia_TDT KHANH HOA 12" xfId="1138"/>
    <cellStyle name="Dziesiętny_Invoices2001Slovakia_TDT KHANH HOA 12" xfId="1139"/>
    <cellStyle name="Dziesietny_Invoices2001Slovakia_TDT KHANH HOA 13" xfId="1140"/>
    <cellStyle name="Dziesiętny_Invoices2001Slovakia_TDT KHANH HOA 13" xfId="1141"/>
    <cellStyle name="Dziesietny_Invoices2001Slovakia_TDT KHANH HOA 14" xfId="1142"/>
    <cellStyle name="Dziesiętny_Invoices2001Slovakia_TDT KHANH HOA 14" xfId="1143"/>
    <cellStyle name="Dziesietny_Invoices2001Slovakia_TDT KHANH HOA 15" xfId="1144"/>
    <cellStyle name="Dziesiętny_Invoices2001Slovakia_TDT KHANH HOA 15" xfId="1145"/>
    <cellStyle name="Dziesietny_Invoices2001Slovakia_TDT KHANH HOA 16" xfId="1146"/>
    <cellStyle name="Dziesiętny_Invoices2001Slovakia_TDT KHANH HOA 16" xfId="1147"/>
    <cellStyle name="Dziesietny_Invoices2001Slovakia_TDT KHANH HOA 17" xfId="1148"/>
    <cellStyle name="Dziesiętny_Invoices2001Slovakia_TDT KHANH HOA 17" xfId="1149"/>
    <cellStyle name="Dziesietny_Invoices2001Slovakia_TDT KHANH HOA 18" xfId="1150"/>
    <cellStyle name="Dziesiętny_Invoices2001Slovakia_TDT KHANH HOA 18" xfId="1151"/>
    <cellStyle name="Dziesietny_Invoices2001Slovakia_TDT KHANH HOA 2" xfId="1152"/>
    <cellStyle name="Dziesiętny_Invoices2001Slovakia_TDT KHANH HOA 2" xfId="1153"/>
    <cellStyle name="Dziesietny_Invoices2001Slovakia_TDT KHANH HOA 3" xfId="1154"/>
    <cellStyle name="Dziesiętny_Invoices2001Slovakia_TDT KHANH HOA 3" xfId="1155"/>
    <cellStyle name="Dziesietny_Invoices2001Slovakia_TDT KHANH HOA 4" xfId="1156"/>
    <cellStyle name="Dziesiętny_Invoices2001Slovakia_TDT KHANH HOA 4" xfId="1157"/>
    <cellStyle name="Dziesietny_Invoices2001Slovakia_TDT KHANH HOA 5" xfId="1158"/>
    <cellStyle name="Dziesiętny_Invoices2001Slovakia_TDT KHANH HOA 5" xfId="1159"/>
    <cellStyle name="Dziesietny_Invoices2001Slovakia_TDT KHANH HOA 6" xfId="1160"/>
    <cellStyle name="Dziesiętny_Invoices2001Slovakia_TDT KHANH HOA 6" xfId="1161"/>
    <cellStyle name="Dziesietny_Invoices2001Slovakia_TDT KHANH HOA 7" xfId="1162"/>
    <cellStyle name="Dziesiętny_Invoices2001Slovakia_TDT KHANH HOA 7" xfId="1163"/>
    <cellStyle name="Dziesietny_Invoices2001Slovakia_TDT KHANH HOA 8" xfId="1164"/>
    <cellStyle name="Dziesiętny_Invoices2001Slovakia_TDT KHANH HOA 8" xfId="1165"/>
    <cellStyle name="Dziesietny_Invoices2001Slovakia_TDT KHANH HOA 9" xfId="1166"/>
    <cellStyle name="Dziesiętny_Invoices2001Slovakia_TDT KHANH HOA 9" xfId="1167"/>
    <cellStyle name="Dziesietny_Invoices2001Slovakia_TDT KHANH HOA_Tong hop Cac tuyen(9-1-06)" xfId="1168"/>
    <cellStyle name="Dziesiętny_Invoices2001Slovakia_TDT KHANH HOA_Tong hop Cac tuyen(9-1-06)" xfId="1169"/>
    <cellStyle name="Dziesietny_Invoices2001Slovakia_TDT KHANH HOA_Tong hop Cac tuyen(9-1-06) 10" xfId="1170"/>
    <cellStyle name="Dziesiętny_Invoices2001Slovakia_TDT KHANH HOA_Tong hop Cac tuyen(9-1-06) 10" xfId="1171"/>
    <cellStyle name="Dziesietny_Invoices2001Slovakia_TDT KHANH HOA_Tong hop Cac tuyen(9-1-06) 11" xfId="1172"/>
    <cellStyle name="Dziesiętny_Invoices2001Slovakia_TDT KHANH HOA_Tong hop Cac tuyen(9-1-06) 11" xfId="1173"/>
    <cellStyle name="Dziesietny_Invoices2001Slovakia_TDT KHANH HOA_Tong hop Cac tuyen(9-1-06) 12" xfId="1174"/>
    <cellStyle name="Dziesiętny_Invoices2001Slovakia_TDT KHANH HOA_Tong hop Cac tuyen(9-1-06) 12" xfId="1175"/>
    <cellStyle name="Dziesietny_Invoices2001Slovakia_TDT KHANH HOA_Tong hop Cac tuyen(9-1-06) 13" xfId="1176"/>
    <cellStyle name="Dziesiętny_Invoices2001Slovakia_TDT KHANH HOA_Tong hop Cac tuyen(9-1-06) 13" xfId="1177"/>
    <cellStyle name="Dziesietny_Invoices2001Slovakia_TDT KHANH HOA_Tong hop Cac tuyen(9-1-06) 14" xfId="1178"/>
    <cellStyle name="Dziesiętny_Invoices2001Slovakia_TDT KHANH HOA_Tong hop Cac tuyen(9-1-06) 14" xfId="1179"/>
    <cellStyle name="Dziesietny_Invoices2001Slovakia_TDT KHANH HOA_Tong hop Cac tuyen(9-1-06) 15" xfId="1180"/>
    <cellStyle name="Dziesiętny_Invoices2001Slovakia_TDT KHANH HOA_Tong hop Cac tuyen(9-1-06) 15" xfId="1181"/>
    <cellStyle name="Dziesietny_Invoices2001Slovakia_TDT KHANH HOA_Tong hop Cac tuyen(9-1-06) 16" xfId="1182"/>
    <cellStyle name="Dziesiętny_Invoices2001Slovakia_TDT KHANH HOA_Tong hop Cac tuyen(9-1-06) 16" xfId="1183"/>
    <cellStyle name="Dziesietny_Invoices2001Slovakia_TDT KHANH HOA_Tong hop Cac tuyen(9-1-06) 17" xfId="1184"/>
    <cellStyle name="Dziesiętny_Invoices2001Slovakia_TDT KHANH HOA_Tong hop Cac tuyen(9-1-06) 17" xfId="1185"/>
    <cellStyle name="Dziesietny_Invoices2001Slovakia_TDT KHANH HOA_Tong hop Cac tuyen(9-1-06) 18" xfId="1186"/>
    <cellStyle name="Dziesiętny_Invoices2001Slovakia_TDT KHANH HOA_Tong hop Cac tuyen(9-1-06) 18" xfId="1187"/>
    <cellStyle name="Dziesietny_Invoices2001Slovakia_TDT KHANH HOA_Tong hop Cac tuyen(9-1-06) 2" xfId="1188"/>
    <cellStyle name="Dziesiętny_Invoices2001Slovakia_TDT KHANH HOA_Tong hop Cac tuyen(9-1-06) 2" xfId="1189"/>
    <cellStyle name="Dziesietny_Invoices2001Slovakia_TDT KHANH HOA_Tong hop Cac tuyen(9-1-06) 3" xfId="1190"/>
    <cellStyle name="Dziesiętny_Invoices2001Slovakia_TDT KHANH HOA_Tong hop Cac tuyen(9-1-06) 3" xfId="1191"/>
    <cellStyle name="Dziesietny_Invoices2001Slovakia_TDT KHANH HOA_Tong hop Cac tuyen(9-1-06) 4" xfId="1192"/>
    <cellStyle name="Dziesiętny_Invoices2001Slovakia_TDT KHANH HOA_Tong hop Cac tuyen(9-1-06) 4" xfId="1193"/>
    <cellStyle name="Dziesietny_Invoices2001Slovakia_TDT KHANH HOA_Tong hop Cac tuyen(9-1-06) 5" xfId="1194"/>
    <cellStyle name="Dziesiętny_Invoices2001Slovakia_TDT KHANH HOA_Tong hop Cac tuyen(9-1-06) 5" xfId="1195"/>
    <cellStyle name="Dziesietny_Invoices2001Slovakia_TDT KHANH HOA_Tong hop Cac tuyen(9-1-06) 6" xfId="1196"/>
    <cellStyle name="Dziesiętny_Invoices2001Slovakia_TDT KHANH HOA_Tong hop Cac tuyen(9-1-06) 6" xfId="1197"/>
    <cellStyle name="Dziesietny_Invoices2001Slovakia_TDT KHANH HOA_Tong hop Cac tuyen(9-1-06) 7" xfId="1198"/>
    <cellStyle name="Dziesiętny_Invoices2001Slovakia_TDT KHANH HOA_Tong hop Cac tuyen(9-1-06) 7" xfId="1199"/>
    <cellStyle name="Dziesietny_Invoices2001Slovakia_TDT KHANH HOA_Tong hop Cac tuyen(9-1-06) 8" xfId="1200"/>
    <cellStyle name="Dziesiętny_Invoices2001Slovakia_TDT KHANH HOA_Tong hop Cac tuyen(9-1-06) 8" xfId="1201"/>
    <cellStyle name="Dziesietny_Invoices2001Slovakia_TDT KHANH HOA_Tong hop Cac tuyen(9-1-06) 9" xfId="1202"/>
    <cellStyle name="Dziesiętny_Invoices2001Slovakia_TDT KHANH HOA_Tong hop Cac tuyen(9-1-06) 9" xfId="1203"/>
    <cellStyle name="Dziesietny_Invoices2001Slovakia_TDT quangngai" xfId="1204"/>
    <cellStyle name="Dziesiętny_Invoices2001Slovakia_TDT quangngai" xfId="1205"/>
    <cellStyle name="Dziesietny_Invoices2001Slovakia_TDT quangngai 10" xfId="1206"/>
    <cellStyle name="Dziesiętny_Invoices2001Slovakia_TDT quangngai 10" xfId="1207"/>
    <cellStyle name="Dziesietny_Invoices2001Slovakia_TDT quangngai 11" xfId="1208"/>
    <cellStyle name="Dziesiętny_Invoices2001Slovakia_TDT quangngai 11" xfId="1209"/>
    <cellStyle name="Dziesietny_Invoices2001Slovakia_TDT quangngai 12" xfId="1210"/>
    <cellStyle name="Dziesiętny_Invoices2001Slovakia_TDT quangngai 12" xfId="1211"/>
    <cellStyle name="Dziesietny_Invoices2001Slovakia_TDT quangngai 13" xfId="1212"/>
    <cellStyle name="Dziesiętny_Invoices2001Slovakia_TDT quangngai 13" xfId="1213"/>
    <cellStyle name="Dziesietny_Invoices2001Slovakia_TDT quangngai 14" xfId="1214"/>
    <cellStyle name="Dziesiętny_Invoices2001Slovakia_TDT quangngai 14" xfId="1215"/>
    <cellStyle name="Dziesietny_Invoices2001Slovakia_TDT quangngai 15" xfId="1216"/>
    <cellStyle name="Dziesiętny_Invoices2001Slovakia_TDT quangngai 15" xfId="1217"/>
    <cellStyle name="Dziesietny_Invoices2001Slovakia_TDT quangngai 16" xfId="1218"/>
    <cellStyle name="Dziesiętny_Invoices2001Slovakia_TDT quangngai 16" xfId="1219"/>
    <cellStyle name="Dziesietny_Invoices2001Slovakia_TDT quangngai 17" xfId="1220"/>
    <cellStyle name="Dziesiętny_Invoices2001Slovakia_TDT quangngai 17" xfId="1221"/>
    <cellStyle name="Dziesietny_Invoices2001Slovakia_TDT quangngai 18" xfId="1222"/>
    <cellStyle name="Dziesiętny_Invoices2001Slovakia_TDT quangngai 18" xfId="1223"/>
    <cellStyle name="Dziesietny_Invoices2001Slovakia_TDT quangngai 2" xfId="1224"/>
    <cellStyle name="Dziesiętny_Invoices2001Slovakia_TDT quangngai 2" xfId="1225"/>
    <cellStyle name="Dziesietny_Invoices2001Slovakia_TDT quangngai 3" xfId="1226"/>
    <cellStyle name="Dziesiętny_Invoices2001Slovakia_TDT quangngai 3" xfId="1227"/>
    <cellStyle name="Dziesietny_Invoices2001Slovakia_TDT quangngai 4" xfId="1228"/>
    <cellStyle name="Dziesiętny_Invoices2001Slovakia_TDT quangngai 4" xfId="1229"/>
    <cellStyle name="Dziesietny_Invoices2001Slovakia_TDT quangngai 5" xfId="1230"/>
    <cellStyle name="Dziesiętny_Invoices2001Slovakia_TDT quangngai 5" xfId="1231"/>
    <cellStyle name="Dziesietny_Invoices2001Slovakia_TDT quangngai 6" xfId="1232"/>
    <cellStyle name="Dziesiętny_Invoices2001Slovakia_TDT quangngai 6" xfId="1233"/>
    <cellStyle name="Dziesietny_Invoices2001Slovakia_TDT quangngai 7" xfId="1234"/>
    <cellStyle name="Dziesiętny_Invoices2001Slovakia_TDT quangngai 7" xfId="1235"/>
    <cellStyle name="Dziesietny_Invoices2001Slovakia_TDT quangngai 8" xfId="1236"/>
    <cellStyle name="Dziesiętny_Invoices2001Slovakia_TDT quangngai 8" xfId="1237"/>
    <cellStyle name="Dziesietny_Invoices2001Slovakia_TDT quangngai 9" xfId="1238"/>
    <cellStyle name="Dziesiętny_Invoices2001Slovakia_TDT quangngai 9" xfId="1239"/>
    <cellStyle name="Dziesietny_Invoices2001Slovakia_TMDT(10-5-06)" xfId="4561"/>
    <cellStyle name="e" xfId="4562"/>
    <cellStyle name="Enter Currency (0)" xfId="1240"/>
    <cellStyle name="Enter Currency (0) 10" xfId="4563"/>
    <cellStyle name="Enter Currency (0) 11" xfId="4564"/>
    <cellStyle name="Enter Currency (0) 12" xfId="4565"/>
    <cellStyle name="Enter Currency (0) 13" xfId="4566"/>
    <cellStyle name="Enter Currency (0) 14" xfId="4567"/>
    <cellStyle name="Enter Currency (0) 15" xfId="4568"/>
    <cellStyle name="Enter Currency (0) 16" xfId="4569"/>
    <cellStyle name="Enter Currency (0) 2" xfId="1241"/>
    <cellStyle name="Enter Currency (0) 3" xfId="4570"/>
    <cellStyle name="Enter Currency (0) 4" xfId="4571"/>
    <cellStyle name="Enter Currency (0) 5" xfId="4572"/>
    <cellStyle name="Enter Currency (0) 6" xfId="4573"/>
    <cellStyle name="Enter Currency (0) 7" xfId="4574"/>
    <cellStyle name="Enter Currency (0) 8" xfId="4575"/>
    <cellStyle name="Enter Currency (0) 9" xfId="4576"/>
    <cellStyle name="Enter Currency (2)" xfId="1242"/>
    <cellStyle name="Enter Currency (2) 10" xfId="4577"/>
    <cellStyle name="Enter Currency (2) 11" xfId="4578"/>
    <cellStyle name="Enter Currency (2) 12" xfId="4579"/>
    <cellStyle name="Enter Currency (2) 13" xfId="4580"/>
    <cellStyle name="Enter Currency (2) 14" xfId="4581"/>
    <cellStyle name="Enter Currency (2) 15" xfId="4582"/>
    <cellStyle name="Enter Currency (2) 16" xfId="4583"/>
    <cellStyle name="Enter Currency (2) 2" xfId="1243"/>
    <cellStyle name="Enter Currency (2) 3" xfId="4584"/>
    <cellStyle name="Enter Currency (2) 4" xfId="4585"/>
    <cellStyle name="Enter Currency (2) 5" xfId="4586"/>
    <cellStyle name="Enter Currency (2) 6" xfId="4587"/>
    <cellStyle name="Enter Currency (2) 7" xfId="4588"/>
    <cellStyle name="Enter Currency (2) 8" xfId="4589"/>
    <cellStyle name="Enter Currency (2) 9" xfId="4590"/>
    <cellStyle name="Enter Units (0)" xfId="1244"/>
    <cellStyle name="Enter Units (0) 10" xfId="4591"/>
    <cellStyle name="Enter Units (0) 11" xfId="4592"/>
    <cellStyle name="Enter Units (0) 12" xfId="4593"/>
    <cellStyle name="Enter Units (0) 13" xfId="4594"/>
    <cellStyle name="Enter Units (0) 14" xfId="4595"/>
    <cellStyle name="Enter Units (0) 15" xfId="4596"/>
    <cellStyle name="Enter Units (0) 16" xfId="4597"/>
    <cellStyle name="Enter Units (0) 2" xfId="1245"/>
    <cellStyle name="Enter Units (0) 3" xfId="4598"/>
    <cellStyle name="Enter Units (0) 4" xfId="4599"/>
    <cellStyle name="Enter Units (0) 5" xfId="4600"/>
    <cellStyle name="Enter Units (0) 6" xfId="4601"/>
    <cellStyle name="Enter Units (0) 7" xfId="4602"/>
    <cellStyle name="Enter Units (0) 8" xfId="4603"/>
    <cellStyle name="Enter Units (0) 9" xfId="4604"/>
    <cellStyle name="Enter Units (1)" xfId="1246"/>
    <cellStyle name="Enter Units (1) 10" xfId="4605"/>
    <cellStyle name="Enter Units (1) 11" xfId="4606"/>
    <cellStyle name="Enter Units (1) 12" xfId="4607"/>
    <cellStyle name="Enter Units (1) 13" xfId="4608"/>
    <cellStyle name="Enter Units (1) 14" xfId="4609"/>
    <cellStyle name="Enter Units (1) 15" xfId="4610"/>
    <cellStyle name="Enter Units (1) 16" xfId="4611"/>
    <cellStyle name="Enter Units (1) 2" xfId="1247"/>
    <cellStyle name="Enter Units (1) 3" xfId="4612"/>
    <cellStyle name="Enter Units (1) 4" xfId="4613"/>
    <cellStyle name="Enter Units (1) 5" xfId="4614"/>
    <cellStyle name="Enter Units (1) 6" xfId="4615"/>
    <cellStyle name="Enter Units (1) 7" xfId="4616"/>
    <cellStyle name="Enter Units (1) 8" xfId="4617"/>
    <cellStyle name="Enter Units (1) 9" xfId="4618"/>
    <cellStyle name="Enter Units (2)" xfId="1248"/>
    <cellStyle name="Enter Units (2) 10" xfId="4619"/>
    <cellStyle name="Enter Units (2) 11" xfId="4620"/>
    <cellStyle name="Enter Units (2) 12" xfId="4621"/>
    <cellStyle name="Enter Units (2) 13" xfId="4622"/>
    <cellStyle name="Enter Units (2) 14" xfId="4623"/>
    <cellStyle name="Enter Units (2) 15" xfId="4624"/>
    <cellStyle name="Enter Units (2) 16" xfId="4625"/>
    <cellStyle name="Enter Units (2) 2" xfId="1249"/>
    <cellStyle name="Enter Units (2) 3" xfId="4626"/>
    <cellStyle name="Enter Units (2) 4" xfId="4627"/>
    <cellStyle name="Enter Units (2) 5" xfId="4628"/>
    <cellStyle name="Enter Units (2) 6" xfId="4629"/>
    <cellStyle name="Enter Units (2) 7" xfId="4630"/>
    <cellStyle name="Enter Units (2) 8" xfId="4631"/>
    <cellStyle name="Enter Units (2) 9" xfId="4632"/>
    <cellStyle name="Entered" xfId="1250"/>
    <cellStyle name="Entered 2" xfId="1251"/>
    <cellStyle name="Euro" xfId="1252"/>
    <cellStyle name="Euro 10" xfId="4633"/>
    <cellStyle name="Euro 11" xfId="4634"/>
    <cellStyle name="Euro 12" xfId="4635"/>
    <cellStyle name="Euro 13" xfId="4636"/>
    <cellStyle name="Euro 14" xfId="4637"/>
    <cellStyle name="Euro 15" xfId="4638"/>
    <cellStyle name="Euro 16" xfId="4639"/>
    <cellStyle name="Euro 2" xfId="1253"/>
    <cellStyle name="Euro 3" xfId="1254"/>
    <cellStyle name="Euro 4" xfId="1255"/>
    <cellStyle name="Euro 5" xfId="4640"/>
    <cellStyle name="Euro 6" xfId="4641"/>
    <cellStyle name="Euro 7" xfId="4642"/>
    <cellStyle name="Euro 8" xfId="4643"/>
    <cellStyle name="Euro 9" xfId="4644"/>
    <cellStyle name="Excel Built-in Normal" xfId="4645"/>
    <cellStyle name="Explanatory Text 2" xfId="1256"/>
    <cellStyle name="Explanatory Text 2 2" xfId="2329"/>
    <cellStyle name="Explanatory Text 2 3" xfId="2380"/>
    <cellStyle name="Explanatory Text 3" xfId="1257"/>
    <cellStyle name="Explanatory Text 4" xfId="1258"/>
    <cellStyle name="f" xfId="4646"/>
    <cellStyle name="f_Danhmuc_Quyhoach2009" xfId="4647"/>
    <cellStyle name="f_Danhmuc_Quyhoach2009 2" xfId="4648"/>
    <cellStyle name="f_Danhmuc_Quyhoach2009 2 2" xfId="4649"/>
    <cellStyle name="Fixed" xfId="1259"/>
    <cellStyle name="Fixed 10" xfId="4650"/>
    <cellStyle name="Fixed 11" xfId="4651"/>
    <cellStyle name="Fixed 12" xfId="4652"/>
    <cellStyle name="Fixed 13" xfId="4653"/>
    <cellStyle name="Fixed 14" xfId="4654"/>
    <cellStyle name="Fixed 15" xfId="4655"/>
    <cellStyle name="Fixed 16" xfId="4656"/>
    <cellStyle name="Fixed 2" xfId="4657"/>
    <cellStyle name="Fixed 2 2" xfId="4658"/>
    <cellStyle name="Fixed 3" xfId="4659"/>
    <cellStyle name="Fixed 4" xfId="4660"/>
    <cellStyle name="Fixed 5" xfId="4661"/>
    <cellStyle name="Fixed 6" xfId="4662"/>
    <cellStyle name="Fixed 7" xfId="4663"/>
    <cellStyle name="Fixed 8" xfId="4664"/>
    <cellStyle name="Fixed 9" xfId="4665"/>
    <cellStyle name="Font Britannic16" xfId="4666"/>
    <cellStyle name="Font Britannic18" xfId="4667"/>
    <cellStyle name="Font CenturyCond 18" xfId="4668"/>
    <cellStyle name="Font Cond20" xfId="4669"/>
    <cellStyle name="Font LucidaSans16" xfId="4670"/>
    <cellStyle name="Font NewCenturyCond18" xfId="4671"/>
    <cellStyle name="Font Ottawa14" xfId="4672"/>
    <cellStyle name="Font Ottawa16" xfId="4673"/>
    <cellStyle name="gia" xfId="4691"/>
    <cellStyle name="Good 2" xfId="28"/>
    <cellStyle name="Good 2 2" xfId="1260"/>
    <cellStyle name="Good 3" xfId="1261"/>
    <cellStyle name="Good 3 2" xfId="2328"/>
    <cellStyle name="Good 3 3" xfId="2387"/>
    <cellStyle name="Good 4" xfId="1262"/>
    <cellStyle name="Grey" xfId="1263"/>
    <cellStyle name="Grey 10" xfId="4674"/>
    <cellStyle name="Grey 11" xfId="4675"/>
    <cellStyle name="Grey 12" xfId="4676"/>
    <cellStyle name="Grey 13" xfId="4677"/>
    <cellStyle name="Grey 14" xfId="4678"/>
    <cellStyle name="Grey 15" xfId="4679"/>
    <cellStyle name="Grey 16" xfId="4680"/>
    <cellStyle name="Grey 2" xfId="4681"/>
    <cellStyle name="Grey 3" xfId="4682"/>
    <cellStyle name="Grey 4" xfId="4683"/>
    <cellStyle name="Grey 5" xfId="4684"/>
    <cellStyle name="Grey 6" xfId="4685"/>
    <cellStyle name="Grey 7" xfId="4686"/>
    <cellStyle name="Grey 8" xfId="4687"/>
    <cellStyle name="Grey 9" xfId="4688"/>
    <cellStyle name="Grey_KH TPCP 2016-2020 (tong hop)" xfId="4689"/>
    <cellStyle name="Group" xfId="4690"/>
    <cellStyle name="H" xfId="1264"/>
    <cellStyle name="H 2" xfId="1265"/>
    <cellStyle name="ha" xfId="1266"/>
    <cellStyle name="ha 2" xfId="1267"/>
    <cellStyle name="HAI" xfId="4692"/>
    <cellStyle name="Head 1" xfId="1268"/>
    <cellStyle name="Head 1 2" xfId="1269"/>
    <cellStyle name="HEADER" xfId="1270"/>
    <cellStyle name="HEADER 2" xfId="1271"/>
    <cellStyle name="HEADER 3" xfId="1272"/>
    <cellStyle name="HEADER 4" xfId="1273"/>
    <cellStyle name="Header1" xfId="1274"/>
    <cellStyle name="Header1 2" xfId="4693"/>
    <cellStyle name="Header2" xfId="1275"/>
    <cellStyle name="Header2 2" xfId="4694"/>
    <cellStyle name="Heading" xfId="4695"/>
    <cellStyle name="Heading 1 2" xfId="1276"/>
    <cellStyle name="Heading 1 2 2" xfId="2327"/>
    <cellStyle name="Heading 1 2 3" xfId="2388"/>
    <cellStyle name="Heading 1 3" xfId="1277"/>
    <cellStyle name="Heading 1 4" xfId="1278"/>
    <cellStyle name="Heading 2 2" xfId="1279"/>
    <cellStyle name="Heading 2 2 2" xfId="2326"/>
    <cellStyle name="Heading 2 2 3" xfId="2389"/>
    <cellStyle name="Heading 2 3" xfId="1280"/>
    <cellStyle name="Heading 2 4" xfId="1281"/>
    <cellStyle name="Heading 3 2" xfId="1282"/>
    <cellStyle name="Heading 3 2 2" xfId="2325"/>
    <cellStyle name="Heading 3 2 3" xfId="2413"/>
    <cellStyle name="Heading 3 3" xfId="1283"/>
    <cellStyle name="Heading 3 4" xfId="1284"/>
    <cellStyle name="Heading 4 2" xfId="1285"/>
    <cellStyle name="Heading 4 2 2" xfId="2324"/>
    <cellStyle name="Heading 4 2 3" xfId="2404"/>
    <cellStyle name="Heading 4 3" xfId="1286"/>
    <cellStyle name="Heading 4 4" xfId="1287"/>
    <cellStyle name="Heading No Underline" xfId="4696"/>
    <cellStyle name="Heading With Underline" xfId="4697"/>
    <cellStyle name="Heading1" xfId="1288"/>
    <cellStyle name="Heading1 2" xfId="1289"/>
    <cellStyle name="Heading1 3" xfId="1290"/>
    <cellStyle name="Heading2" xfId="1291"/>
    <cellStyle name="Heading2 2" xfId="1292"/>
    <cellStyle name="Heading2 3" xfId="1293"/>
    <cellStyle name="HEADINGS" xfId="1294"/>
    <cellStyle name="HEADINGS 2" xfId="1295"/>
    <cellStyle name="HEADINGSTOP" xfId="1296"/>
    <cellStyle name="HEADINGSTOP 2" xfId="1297"/>
    <cellStyle name="headoption" xfId="1298"/>
    <cellStyle name="headoption 2" xfId="1299"/>
    <cellStyle name="headoption 3" xfId="4698"/>
    <cellStyle name="Hoa-Scholl" xfId="1300"/>
    <cellStyle name="Hoa-Scholl 2" xfId="1301"/>
    <cellStyle name="HUY" xfId="1302"/>
    <cellStyle name="Hyperlink_Nhu%20cau%20KH%202010%20%28ODA%29(1) 2" xfId="7006"/>
    <cellStyle name="i phÝ kh¸c_B¶ng 2" xfId="4699"/>
    <cellStyle name="I.3" xfId="4700"/>
    <cellStyle name="i·0" xfId="1303"/>
    <cellStyle name="i·0 2" xfId="4701"/>
    <cellStyle name="ï-¾È»ê_BiÓu TB" xfId="4702"/>
    <cellStyle name="Input [yellow]" xfId="1304"/>
    <cellStyle name="Input [yellow] 10" xfId="4703"/>
    <cellStyle name="Input [yellow] 11" xfId="4704"/>
    <cellStyle name="Input [yellow] 12" xfId="4705"/>
    <cellStyle name="Input [yellow] 13" xfId="4706"/>
    <cellStyle name="Input [yellow] 14" xfId="4707"/>
    <cellStyle name="Input [yellow] 15" xfId="4708"/>
    <cellStyle name="Input [yellow] 16" xfId="4709"/>
    <cellStyle name="Input [yellow] 2" xfId="4710"/>
    <cellStyle name="Input [yellow] 2 2" xfId="4711"/>
    <cellStyle name="Input [yellow] 3" xfId="4712"/>
    <cellStyle name="Input [yellow] 4" xfId="4713"/>
    <cellStyle name="Input [yellow] 5" xfId="4714"/>
    <cellStyle name="Input [yellow] 6" xfId="4715"/>
    <cellStyle name="Input [yellow] 7" xfId="4716"/>
    <cellStyle name="Input [yellow] 8" xfId="4717"/>
    <cellStyle name="Input [yellow] 9" xfId="4718"/>
    <cellStyle name="Input [yellow]_KH TPCP 2016-2020 (tong hop)" xfId="4719"/>
    <cellStyle name="Input 2" xfId="1305"/>
    <cellStyle name="Input 2 2" xfId="2322"/>
    <cellStyle name="Input 2 3" xfId="2373"/>
    <cellStyle name="Input 3" xfId="1306"/>
    <cellStyle name="Input 4" xfId="1307"/>
    <cellStyle name="Input 5" xfId="1308"/>
    <cellStyle name="Input 6" xfId="4720"/>
    <cellStyle name="Input 7" xfId="4721"/>
    <cellStyle name="k_TONG HOP KINH PHI" xfId="1309"/>
    <cellStyle name="k_TONG HOP KINH PHI 2" xfId="1310"/>
    <cellStyle name="k_TONG HOP KINH PHI_!1 1 bao cao giao KH ve HTCMT vung TNB   12-12-2011" xfId="4722"/>
    <cellStyle name="k_TONG HOP KINH PHI_Bieu4HTMT" xfId="4723"/>
    <cellStyle name="k_TONG HOP KINH PHI_Bieu4HTMT_!1 1 bao cao giao KH ve HTCMT vung TNB   12-12-2011" xfId="4724"/>
    <cellStyle name="k_TONG HOP KINH PHI_Bieu4HTMT_KH TPCP vung TNB (03-1-2012)" xfId="4725"/>
    <cellStyle name="k_TONG HOP KINH PHI_KH TPCP vung TNB (03-1-2012)" xfId="4726"/>
    <cellStyle name="k_ÿÿÿÿÿ" xfId="1311"/>
    <cellStyle name="k_ÿÿÿÿÿ 2" xfId="1312"/>
    <cellStyle name="k_ÿÿÿÿÿ_!1 1 bao cao giao KH ve HTCMT vung TNB   12-12-2011" xfId="4727"/>
    <cellStyle name="k_ÿÿÿÿÿ_1" xfId="1313"/>
    <cellStyle name="k_ÿÿÿÿÿ_2" xfId="1314"/>
    <cellStyle name="k_ÿÿÿÿÿ_2 2" xfId="1315"/>
    <cellStyle name="k_ÿÿÿÿÿ_2_!1 1 bao cao giao KH ve HTCMT vung TNB   12-12-2011" xfId="4728"/>
    <cellStyle name="k_ÿÿÿÿÿ_2_Bieu4HTMT" xfId="4729"/>
    <cellStyle name="k_ÿÿÿÿÿ_2_Bieu4HTMT_!1 1 bao cao giao KH ve HTCMT vung TNB   12-12-2011" xfId="4730"/>
    <cellStyle name="k_ÿÿÿÿÿ_2_Bieu4HTMT_KH TPCP vung TNB (03-1-2012)" xfId="4731"/>
    <cellStyle name="k_ÿÿÿÿÿ_2_KH TPCP vung TNB (03-1-2012)" xfId="4732"/>
    <cellStyle name="k_ÿÿÿÿÿ_Bieu4HTMT" xfId="4733"/>
    <cellStyle name="k_ÿÿÿÿÿ_Bieu4HTMT_!1 1 bao cao giao KH ve HTCMT vung TNB   12-12-2011" xfId="4734"/>
    <cellStyle name="k_ÿÿÿÿÿ_Bieu4HTMT_KH TPCP vung TNB (03-1-2012)" xfId="4735"/>
    <cellStyle name="k_ÿÿÿÿÿ_KH TPCP vung TNB (03-1-2012)" xfId="4736"/>
    <cellStyle name="kh¸c_Bang Chi tieu" xfId="4737"/>
    <cellStyle name="khanh" xfId="1316"/>
    <cellStyle name="khanh 2" xfId="1317"/>
    <cellStyle name="khung" xfId="1318"/>
    <cellStyle name="Ledger 17 x 11 in" xfId="1319"/>
    <cellStyle name="Ledger 17 x 11 in 2" xfId="1320"/>
    <cellStyle name="Ledger 17 x 11 in 3" xfId="1321"/>
    <cellStyle name="Ledger 17 x 11 in 4" xfId="1322"/>
    <cellStyle name="Ledger 17 x 11 in 5" xfId="1323"/>
    <cellStyle name="Ledger 17 x 11 in 6" xfId="1324"/>
    <cellStyle name="left" xfId="4738"/>
    <cellStyle name="Line" xfId="4739"/>
    <cellStyle name="Link Currency (0)" xfId="1325"/>
    <cellStyle name="Link Currency (0) 10" xfId="4740"/>
    <cellStyle name="Link Currency (0) 11" xfId="4741"/>
    <cellStyle name="Link Currency (0) 12" xfId="4742"/>
    <cellStyle name="Link Currency (0) 13" xfId="4743"/>
    <cellStyle name="Link Currency (0) 14" xfId="4744"/>
    <cellStyle name="Link Currency (0) 15" xfId="4745"/>
    <cellStyle name="Link Currency (0) 16" xfId="4746"/>
    <cellStyle name="Link Currency (0) 2" xfId="1326"/>
    <cellStyle name="Link Currency (0) 3" xfId="4747"/>
    <cellStyle name="Link Currency (0) 4" xfId="4748"/>
    <cellStyle name="Link Currency (0) 5" xfId="4749"/>
    <cellStyle name="Link Currency (0) 6" xfId="4750"/>
    <cellStyle name="Link Currency (0) 7" xfId="4751"/>
    <cellStyle name="Link Currency (0) 8" xfId="4752"/>
    <cellStyle name="Link Currency (0) 9" xfId="4753"/>
    <cellStyle name="Link Currency (2)" xfId="1327"/>
    <cellStyle name="Link Currency (2) 10" xfId="4754"/>
    <cellStyle name="Link Currency (2) 11" xfId="4755"/>
    <cellStyle name="Link Currency (2) 12" xfId="4756"/>
    <cellStyle name="Link Currency (2) 13" xfId="4757"/>
    <cellStyle name="Link Currency (2) 14" xfId="4758"/>
    <cellStyle name="Link Currency (2) 15" xfId="4759"/>
    <cellStyle name="Link Currency (2) 16" xfId="4760"/>
    <cellStyle name="Link Currency (2) 2" xfId="1328"/>
    <cellStyle name="Link Currency (2) 3" xfId="4761"/>
    <cellStyle name="Link Currency (2) 4" xfId="4762"/>
    <cellStyle name="Link Currency (2) 5" xfId="4763"/>
    <cellStyle name="Link Currency (2) 6" xfId="4764"/>
    <cellStyle name="Link Currency (2) 7" xfId="4765"/>
    <cellStyle name="Link Currency (2) 8" xfId="4766"/>
    <cellStyle name="Link Currency (2) 9" xfId="4767"/>
    <cellStyle name="Link Units (0)" xfId="1329"/>
    <cellStyle name="Link Units (0) 10" xfId="4768"/>
    <cellStyle name="Link Units (0) 11" xfId="4769"/>
    <cellStyle name="Link Units (0) 12" xfId="4770"/>
    <cellStyle name="Link Units (0) 13" xfId="4771"/>
    <cellStyle name="Link Units (0) 14" xfId="4772"/>
    <cellStyle name="Link Units (0) 15" xfId="4773"/>
    <cellStyle name="Link Units (0) 16" xfId="4774"/>
    <cellStyle name="Link Units (0) 2" xfId="1330"/>
    <cellStyle name="Link Units (0) 3" xfId="4775"/>
    <cellStyle name="Link Units (0) 4" xfId="4776"/>
    <cellStyle name="Link Units (0) 5" xfId="4777"/>
    <cellStyle name="Link Units (0) 6" xfId="4778"/>
    <cellStyle name="Link Units (0) 7" xfId="4779"/>
    <cellStyle name="Link Units (0) 8" xfId="4780"/>
    <cellStyle name="Link Units (0) 9" xfId="4781"/>
    <cellStyle name="Link Units (1)" xfId="1331"/>
    <cellStyle name="Link Units (1) 10" xfId="4782"/>
    <cellStyle name="Link Units (1) 11" xfId="4783"/>
    <cellStyle name="Link Units (1) 12" xfId="4784"/>
    <cellStyle name="Link Units (1) 13" xfId="4785"/>
    <cellStyle name="Link Units (1) 14" xfId="4786"/>
    <cellStyle name="Link Units (1) 15" xfId="4787"/>
    <cellStyle name="Link Units (1) 16" xfId="4788"/>
    <cellStyle name="Link Units (1) 2" xfId="1332"/>
    <cellStyle name="Link Units (1) 3" xfId="4789"/>
    <cellStyle name="Link Units (1) 4" xfId="4790"/>
    <cellStyle name="Link Units (1) 5" xfId="4791"/>
    <cellStyle name="Link Units (1) 6" xfId="4792"/>
    <cellStyle name="Link Units (1) 7" xfId="4793"/>
    <cellStyle name="Link Units (1) 8" xfId="4794"/>
    <cellStyle name="Link Units (1) 9" xfId="4795"/>
    <cellStyle name="Link Units (2)" xfId="1333"/>
    <cellStyle name="Link Units (2) 10" xfId="4796"/>
    <cellStyle name="Link Units (2) 11" xfId="4797"/>
    <cellStyle name="Link Units (2) 12" xfId="4798"/>
    <cellStyle name="Link Units (2) 13" xfId="4799"/>
    <cellStyle name="Link Units (2) 14" xfId="4800"/>
    <cellStyle name="Link Units (2) 15" xfId="4801"/>
    <cellStyle name="Link Units (2) 16" xfId="4802"/>
    <cellStyle name="Link Units (2) 2" xfId="1334"/>
    <cellStyle name="Link Units (2) 3" xfId="4803"/>
    <cellStyle name="Link Units (2) 4" xfId="4804"/>
    <cellStyle name="Link Units (2) 5" xfId="4805"/>
    <cellStyle name="Link Units (2) 6" xfId="4806"/>
    <cellStyle name="Link Units (2) 7" xfId="4807"/>
    <cellStyle name="Link Units (2) 8" xfId="4808"/>
    <cellStyle name="Link Units (2) 9" xfId="4809"/>
    <cellStyle name="Linked Cell 2" xfId="1335"/>
    <cellStyle name="Linked Cell 2 2" xfId="2321"/>
    <cellStyle name="Linked Cell 2 3" xfId="2390"/>
    <cellStyle name="Linked Cell 3" xfId="1336"/>
    <cellStyle name="Linked Cell 4" xfId="1337"/>
    <cellStyle name="Loai CBDT" xfId="4810"/>
    <cellStyle name="Loai CT" xfId="4811"/>
    <cellStyle name="Loai GD" xfId="4812"/>
    <cellStyle name="MAU" xfId="1338"/>
    <cellStyle name="MAU 2" xfId="1339"/>
    <cellStyle name="Migliaia (0)_CALPREZZ" xfId="1340"/>
    <cellStyle name="Migliaia_ PESO ELETTR." xfId="1341"/>
    <cellStyle name="Millares [0]_Well Timing" xfId="1342"/>
    <cellStyle name="Millares_Well Timing" xfId="1343"/>
    <cellStyle name="Milliers [0]_      " xfId="1344"/>
    <cellStyle name="Milliers_      " xfId="1345"/>
    <cellStyle name="Model" xfId="1346"/>
    <cellStyle name="Model 2" xfId="1347"/>
    <cellStyle name="Model 3" xfId="1348"/>
    <cellStyle name="Model 4" xfId="1349"/>
    <cellStyle name="moi" xfId="1350"/>
    <cellStyle name="moi 2" xfId="1351"/>
    <cellStyle name="moi 3" xfId="1352"/>
    <cellStyle name="moi 4" xfId="1353"/>
    <cellStyle name="Moneda [0]_Well Timing" xfId="1354"/>
    <cellStyle name="Moneda_Well Timing" xfId="1355"/>
    <cellStyle name="Monétaire [0]_      " xfId="1356"/>
    <cellStyle name="Monétaire_      " xfId="1357"/>
    <cellStyle name="n" xfId="1358"/>
    <cellStyle name="Neutral 2" xfId="1359"/>
    <cellStyle name="Neutral 2 2" xfId="2320"/>
    <cellStyle name="Neutral 2 3" xfId="2371"/>
    <cellStyle name="Neutral 3" xfId="1360"/>
    <cellStyle name="Neutral 4" xfId="1361"/>
    <cellStyle name="New" xfId="4813"/>
    <cellStyle name="New Times Roman" xfId="1362"/>
    <cellStyle name="New Times Roman 2" xfId="1363"/>
    <cellStyle name="nga" xfId="1994"/>
    <cellStyle name="nga 2" xfId="1995"/>
    <cellStyle name="no dec" xfId="1364"/>
    <cellStyle name="no dec 2" xfId="1365"/>
    <cellStyle name="no dec 2 2" xfId="4814"/>
    <cellStyle name="ÑONVÒ" xfId="1366"/>
    <cellStyle name="ÑONVÒ 2" xfId="1367"/>
    <cellStyle name="Normal" xfId="0" builtinId="0"/>
    <cellStyle name="Normal - Style1" xfId="1368"/>
    <cellStyle name="Normal - Style1 2" xfId="1369"/>
    <cellStyle name="Normal - Style1 2 2" xfId="6171"/>
    <cellStyle name="Normal - Style1 3" xfId="1370"/>
    <cellStyle name="Normal - Style1_KH TPCP 2016-2020 (tong hop)" xfId="4815"/>
    <cellStyle name="Normal - 유형1" xfId="1371"/>
    <cellStyle name="Normal - 유형1 2" xfId="1372"/>
    <cellStyle name="Normal 10" xfId="2"/>
    <cellStyle name="Normal 10 2" xfId="7"/>
    <cellStyle name="Normal 10 2 2" xfId="1373"/>
    <cellStyle name="Normal 10 3" xfId="29"/>
    <cellStyle name="Normal 10 3 2" xfId="1374"/>
    <cellStyle name="Normal 10 4" xfId="1375"/>
    <cellStyle name="Normal 10 5" xfId="1376"/>
    <cellStyle name="Normal 10 6" xfId="4816"/>
    <cellStyle name="Normal 10_05-12  KH trung han 2016-2020 - Liem Thinh edited" xfId="4817"/>
    <cellStyle name="Normal 100" xfId="1377"/>
    <cellStyle name="Normal 101" xfId="1378"/>
    <cellStyle name="Normal 102" xfId="1379"/>
    <cellStyle name="Normal 103" xfId="1380"/>
    <cellStyle name="Normal 104" xfId="1381"/>
    <cellStyle name="Normal 105" xfId="1382"/>
    <cellStyle name="Normal 106" xfId="1383"/>
    <cellStyle name="Normal 107" xfId="1384"/>
    <cellStyle name="Normal 108" xfId="1385"/>
    <cellStyle name="Normal 109" xfId="1386"/>
    <cellStyle name="Normal 11" xfId="5"/>
    <cellStyle name="Normal 11 2" xfId="1387"/>
    <cellStyle name="Normal 11 2 2" xfId="4818"/>
    <cellStyle name="Normal 11 3" xfId="1388"/>
    <cellStyle name="Normal 11 3 2" xfId="4819"/>
    <cellStyle name="Normal 11 3 3" xfId="4820"/>
    <cellStyle name="Normal 11 3 4" xfId="4821"/>
    <cellStyle name="Normal 11 4" xfId="1389"/>
    <cellStyle name="Normal 11 5" xfId="4822"/>
    <cellStyle name="Normal 110" xfId="1390"/>
    <cellStyle name="Normal 111" xfId="1391"/>
    <cellStyle name="Normal 112" xfId="1392"/>
    <cellStyle name="Normal 113" xfId="1393"/>
    <cellStyle name="Normal 114" xfId="1394"/>
    <cellStyle name="Normal 115" xfId="1395"/>
    <cellStyle name="Normal 116" xfId="1396"/>
    <cellStyle name="Normal 117" xfId="1397"/>
    <cellStyle name="Normal 118" xfId="1398"/>
    <cellStyle name="Normal 119" xfId="1399"/>
    <cellStyle name="Normal 12" xfId="30"/>
    <cellStyle name="Normal 12 2" xfId="1400"/>
    <cellStyle name="Normal 12 3" xfId="1401"/>
    <cellStyle name="Normal 12 4" xfId="1402"/>
    <cellStyle name="Normal 120" xfId="1403"/>
    <cellStyle name="Normal 121" xfId="1404"/>
    <cellStyle name="Normal 122" xfId="1405"/>
    <cellStyle name="Normal 123" xfId="1406"/>
    <cellStyle name="Normal 124" xfId="1407"/>
    <cellStyle name="Normal 125" xfId="1408"/>
    <cellStyle name="Normal 126" xfId="1409"/>
    <cellStyle name="Normal 127" xfId="1410"/>
    <cellStyle name="Normal 128" xfId="1411"/>
    <cellStyle name="Normal 129" xfId="1412"/>
    <cellStyle name="Normal 13" xfId="31"/>
    <cellStyle name="Normal 13 2" xfId="1413"/>
    <cellStyle name="Normal 13 3" xfId="1414"/>
    <cellStyle name="Normal 130" xfId="1415"/>
    <cellStyle name="Normal 131" xfId="1416"/>
    <cellStyle name="Normal 132" xfId="1417"/>
    <cellStyle name="Normal 133" xfId="1418"/>
    <cellStyle name="Normal 134" xfId="1419"/>
    <cellStyle name="Normal 135" xfId="1420"/>
    <cellStyle name="Normal 136" xfId="1421"/>
    <cellStyle name="Normal 137" xfId="1422"/>
    <cellStyle name="Normal 138" xfId="1423"/>
    <cellStyle name="Normal 139" xfId="1424"/>
    <cellStyle name="Normal 14" xfId="32"/>
    <cellStyle name="Normal 14 2" xfId="33"/>
    <cellStyle name="Normal 14 2 2" xfId="75"/>
    <cellStyle name="Normal 14 3" xfId="8"/>
    <cellStyle name="Normal 14 3 2" xfId="34"/>
    <cellStyle name="Normal 14 4" xfId="35"/>
    <cellStyle name="Normal 14 5" xfId="2420"/>
    <cellStyle name="Normal 140" xfId="1425"/>
    <cellStyle name="Normal 141" xfId="1426"/>
    <cellStyle name="Normal 142" xfId="1427"/>
    <cellStyle name="Normal 143" xfId="1428"/>
    <cellStyle name="Normal 144" xfId="1429"/>
    <cellStyle name="Normal 145" xfId="1430"/>
    <cellStyle name="Normal 146" xfId="1431"/>
    <cellStyle name="Normal 147" xfId="1432"/>
    <cellStyle name="Normal 148" xfId="1433"/>
    <cellStyle name="Normal 149" xfId="1434"/>
    <cellStyle name="Normal 15" xfId="36"/>
    <cellStyle name="Normal 15 2" xfId="37"/>
    <cellStyle name="Normal 15 3" xfId="71"/>
    <cellStyle name="Normal 150" xfId="1435"/>
    <cellStyle name="Normal 151" xfId="1436"/>
    <cellStyle name="Normal 152" xfId="1437"/>
    <cellStyle name="Normal 153" xfId="1438"/>
    <cellStyle name="Normal 154" xfId="1439"/>
    <cellStyle name="Normal 155" xfId="1440"/>
    <cellStyle name="Normal 156" xfId="1441"/>
    <cellStyle name="Normal 157" xfId="1442"/>
    <cellStyle name="Normal 158" xfId="1443"/>
    <cellStyle name="Normal 159" xfId="1444"/>
    <cellStyle name="Normal 16" xfId="74"/>
    <cellStyle name="Normal 16 2" xfId="2364"/>
    <cellStyle name="Normal 16 2 2" xfId="4823"/>
    <cellStyle name="Normal 16 2 2 2" xfId="4824"/>
    <cellStyle name="Normal 16 2 3" xfId="4825"/>
    <cellStyle name="Normal 16 2 3 2" xfId="4826"/>
    <cellStyle name="Normal 16 2 4" xfId="4827"/>
    <cellStyle name="Normal 16 3" xfId="2370"/>
    <cellStyle name="Normal 16 4" xfId="4828"/>
    <cellStyle name="Normal 16 4 2" xfId="4829"/>
    <cellStyle name="Normal 16 5" xfId="4830"/>
    <cellStyle name="Normal 16 5 2" xfId="4831"/>
    <cellStyle name="Normal 160" xfId="1445"/>
    <cellStyle name="Normal 161" xfId="1446"/>
    <cellStyle name="Normal 162" xfId="1447"/>
    <cellStyle name="Normal 163" xfId="1448"/>
    <cellStyle name="Normal 164" xfId="1449"/>
    <cellStyle name="Normal 165" xfId="1450"/>
    <cellStyle name="Normal 166" xfId="78"/>
    <cellStyle name="Normal 167" xfId="1451"/>
    <cellStyle name="Normal 168" xfId="1452"/>
    <cellStyle name="Normal 169" xfId="1453"/>
    <cellStyle name="Normal 17" xfId="1454"/>
    <cellStyle name="Normal 17 2" xfId="4832"/>
    <cellStyle name="Normal 17 3 2" xfId="4833"/>
    <cellStyle name="Normal 17 3 2 2" xfId="4834"/>
    <cellStyle name="Normal 17 3 2 2 2" xfId="4835"/>
    <cellStyle name="Normal 17 3 2 3" xfId="4836"/>
    <cellStyle name="Normal 17 3 2 3 2" xfId="4837"/>
    <cellStyle name="Normal 17 3 2 4" xfId="4838"/>
    <cellStyle name="Normal 170" xfId="1455"/>
    <cellStyle name="Normal 171" xfId="1456"/>
    <cellStyle name="Normal 172" xfId="1457"/>
    <cellStyle name="Normal 173" xfId="1458"/>
    <cellStyle name="Normal 174" xfId="1459"/>
    <cellStyle name="Normal 175" xfId="1460"/>
    <cellStyle name="Normal 175 2" xfId="1461"/>
    <cellStyle name="Normal 175 2 2" xfId="1462"/>
    <cellStyle name="Normal 175 3" xfId="1463"/>
    <cellStyle name="Normal 176" xfId="1464"/>
    <cellStyle name="Normal 176 2" xfId="1465"/>
    <cellStyle name="Normal 176 2 2" xfId="1466"/>
    <cellStyle name="Normal 176 3" xfId="1467"/>
    <cellStyle name="Normal 177" xfId="1468"/>
    <cellStyle name="Normal 177 2" xfId="1469"/>
    <cellStyle name="Normal 177 2 2" xfId="1470"/>
    <cellStyle name="Normal 177 3" xfId="1471"/>
    <cellStyle name="Normal 178" xfId="1472"/>
    <cellStyle name="Normal 179" xfId="1473"/>
    <cellStyle name="Normal 18" xfId="1474"/>
    <cellStyle name="Normal 18 2" xfId="4839"/>
    <cellStyle name="Normal 18 2 2" xfId="4840"/>
    <cellStyle name="Normal 18 3" xfId="4841"/>
    <cellStyle name="Normal 18_05-12  KH trung han 2016-2020 - Liem Thinh edited" xfId="4842"/>
    <cellStyle name="Normal 180" xfId="1475"/>
    <cellStyle name="Normal 181" xfId="1476"/>
    <cellStyle name="Normal 181 2" xfId="1477"/>
    <cellStyle name="Normal 181 2 2" xfId="1478"/>
    <cellStyle name="Normal 181 3" xfId="1479"/>
    <cellStyle name="Normal 182" xfId="1480"/>
    <cellStyle name="Normal 182 2" xfId="1481"/>
    <cellStyle name="Normal 182 2 2" xfId="1482"/>
    <cellStyle name="Normal 182 3" xfId="1483"/>
    <cellStyle name="Normal 183" xfId="1484"/>
    <cellStyle name="Normal 183 2" xfId="1485"/>
    <cellStyle name="Normal 183 2 2" xfId="1486"/>
    <cellStyle name="Normal 183 3" xfId="1487"/>
    <cellStyle name="Normal 184" xfId="1488"/>
    <cellStyle name="Normal 184 2" xfId="1489"/>
    <cellStyle name="Normal 184 2 2" xfId="1490"/>
    <cellStyle name="Normal 184 3" xfId="1491"/>
    <cellStyle name="Normal 185" xfId="1492"/>
    <cellStyle name="Normal 185 2" xfId="1493"/>
    <cellStyle name="Normal 185 2 2" xfId="1494"/>
    <cellStyle name="Normal 185 3" xfId="1495"/>
    <cellStyle name="Normal 186" xfId="1496"/>
    <cellStyle name="Normal 186 2" xfId="1497"/>
    <cellStyle name="Normal 186 2 2" xfId="1498"/>
    <cellStyle name="Normal 186 3" xfId="1499"/>
    <cellStyle name="Normal 187" xfId="1500"/>
    <cellStyle name="Normal 187 2" xfId="1501"/>
    <cellStyle name="Normal 187 2 2" xfId="1502"/>
    <cellStyle name="Normal 187 3" xfId="1503"/>
    <cellStyle name="Normal 188" xfId="1504"/>
    <cellStyle name="Normal 188 2" xfId="1505"/>
    <cellStyle name="Normal 188 2 2" xfId="1506"/>
    <cellStyle name="Normal 188 3" xfId="1507"/>
    <cellStyle name="Normal 189" xfId="1508"/>
    <cellStyle name="Normal 189 2" xfId="1509"/>
    <cellStyle name="Normal 189 2 2" xfId="1510"/>
    <cellStyle name="Normal 189 3" xfId="1511"/>
    <cellStyle name="Normal 19" xfId="1512"/>
    <cellStyle name="Normal 19 2" xfId="4843"/>
    <cellStyle name="Normal 19 3" xfId="4844"/>
    <cellStyle name="Normal 190" xfId="1513"/>
    <cellStyle name="Normal 190 2" xfId="1514"/>
    <cellStyle name="Normal 190 2 2" xfId="1515"/>
    <cellStyle name="Normal 190 3" xfId="1516"/>
    <cellStyle name="Normal 191" xfId="1517"/>
    <cellStyle name="Normal 191 2" xfId="1518"/>
    <cellStyle name="Normal 191 2 2" xfId="1519"/>
    <cellStyle name="Normal 191 3" xfId="1520"/>
    <cellStyle name="Normal 192" xfId="1521"/>
    <cellStyle name="Normal 192 2" xfId="1522"/>
    <cellStyle name="Normal 192 2 2" xfId="1523"/>
    <cellStyle name="Normal 192 3" xfId="1524"/>
    <cellStyle name="Normal 193" xfId="1525"/>
    <cellStyle name="Normal 193 2" xfId="1526"/>
    <cellStyle name="Normal 193 2 2" xfId="1527"/>
    <cellStyle name="Normal 193 3" xfId="1528"/>
    <cellStyle name="Normal 194" xfId="1529"/>
    <cellStyle name="Normal 194 2" xfId="1530"/>
    <cellStyle name="Normal 194 2 2" xfId="1531"/>
    <cellStyle name="Normal 194 3" xfId="1532"/>
    <cellStyle name="Normal 195" xfId="1533"/>
    <cellStyle name="Normal 195 2" xfId="1534"/>
    <cellStyle name="Normal 195 2 2" xfId="1535"/>
    <cellStyle name="Normal 195 3" xfId="1536"/>
    <cellStyle name="Normal 196" xfId="1537"/>
    <cellStyle name="Normal 196 2" xfId="1538"/>
    <cellStyle name="Normal 196 2 2" xfId="1539"/>
    <cellStyle name="Normal 196 3" xfId="1540"/>
    <cellStyle name="Normal 197" xfId="1541"/>
    <cellStyle name="Normal 197 2" xfId="1542"/>
    <cellStyle name="Normal 197 2 2" xfId="1543"/>
    <cellStyle name="Normal 197 3" xfId="1544"/>
    <cellStyle name="Normal 198" xfId="1545"/>
    <cellStyle name="Normal 198 2" xfId="1546"/>
    <cellStyle name="Normal 198 2 2" xfId="1547"/>
    <cellStyle name="Normal 198 3" xfId="1548"/>
    <cellStyle name="Normal 199" xfId="1549"/>
    <cellStyle name="Normal 199 2" xfId="1550"/>
    <cellStyle name="Normal 199 2 2" xfId="1551"/>
    <cellStyle name="Normal 199 3" xfId="1552"/>
    <cellStyle name="Normal 2" xfId="38"/>
    <cellStyle name="Normal 2 10" xfId="1553"/>
    <cellStyle name="Normal 2 10 2" xfId="4845"/>
    <cellStyle name="Normal 2 11" xfId="1554"/>
    <cellStyle name="Normal 2 11 2" xfId="4846"/>
    <cellStyle name="Normal 2 12" xfId="1555"/>
    <cellStyle name="Normal 2 12 2" xfId="4847"/>
    <cellStyle name="Normal 2 13" xfId="1556"/>
    <cellStyle name="Normal 2 13 2" xfId="4848"/>
    <cellStyle name="Normal 2 14" xfId="1557"/>
    <cellStyle name="Normal 2 14 2" xfId="4849"/>
    <cellStyle name="Normal 2 14_Phuongangiao 1-giaoxulykythuat" xfId="4850"/>
    <cellStyle name="Normal 2 15" xfId="1558"/>
    <cellStyle name="Normal 2 16" xfId="1559"/>
    <cellStyle name="Normal 2 17" xfId="1560"/>
    <cellStyle name="Normal 2 18" xfId="1561"/>
    <cellStyle name="Normal 2 19" xfId="1562"/>
    <cellStyle name="Normal 2 2" xfId="39"/>
    <cellStyle name="Normal 2 2 10" xfId="4851"/>
    <cellStyle name="Normal 2 2 10 2" xfId="4852"/>
    <cellStyle name="Normal 2 2 11" xfId="4853"/>
    <cellStyle name="Normal 2 2 12" xfId="4854"/>
    <cellStyle name="Normal 2 2 13" xfId="4855"/>
    <cellStyle name="Normal 2 2 14" xfId="4856"/>
    <cellStyle name="Normal 2 2 15" xfId="4857"/>
    <cellStyle name="Normal 2 2 2" xfId="4858"/>
    <cellStyle name="Normal 2 2 2 2" xfId="4859"/>
    <cellStyle name="Normal 2 2 2 3" xfId="4860"/>
    <cellStyle name="Normal 2 2 3" xfId="4861"/>
    <cellStyle name="Normal 2 2 4" xfId="4862"/>
    <cellStyle name="Normal 2 2 4 2" xfId="4863"/>
    <cellStyle name="Normal 2 2 4 3" xfId="4864"/>
    <cellStyle name="Normal 2 2 5" xfId="4865"/>
    <cellStyle name="Normal 2 2 6" xfId="4866"/>
    <cellStyle name="Normal 2 2 7" xfId="4867"/>
    <cellStyle name="Normal 2 2 8" xfId="4868"/>
    <cellStyle name="Normal 2 2 9" xfId="4869"/>
    <cellStyle name="Normal 2 2_Bieu chi tiet tang quy mo, dch ky thuat 4" xfId="4870"/>
    <cellStyle name="Normal 2 20" xfId="1563"/>
    <cellStyle name="Normal 2 21" xfId="1564"/>
    <cellStyle name="Normal 2 22" xfId="4871"/>
    <cellStyle name="Normal 2 23" xfId="4872"/>
    <cellStyle name="Normal 2 24" xfId="4873"/>
    <cellStyle name="Normal 2 25" xfId="4874"/>
    <cellStyle name="Normal 2 26" xfId="4875"/>
    <cellStyle name="Normal 2 26 2" xfId="4876"/>
    <cellStyle name="Normal 2 27" xfId="4877"/>
    <cellStyle name="Normal 2 3" xfId="40"/>
    <cellStyle name="Normal 2 3 2" xfId="41"/>
    <cellStyle name="Normal 2 3 2 2" xfId="42"/>
    <cellStyle name="Normal 2 3 3" xfId="1565"/>
    <cellStyle name="Normal 2 32" xfId="4878"/>
    <cellStyle name="Normal 2 4" xfId="43"/>
    <cellStyle name="Normal 2 4 2" xfId="1566"/>
    <cellStyle name="Normal 2 4 2 2" xfId="4879"/>
    <cellStyle name="Normal 2 4 3" xfId="4880"/>
    <cellStyle name="Normal 2 4 3 2" xfId="4881"/>
    <cellStyle name="Normal 2 5" xfId="44"/>
    <cellStyle name="Normal 2 5 2" xfId="4882"/>
    <cellStyle name="Normal 2 6" xfId="1567"/>
    <cellStyle name="Normal 2 6 2" xfId="4883"/>
    <cellStyle name="Normal 2 7" xfId="1568"/>
    <cellStyle name="Normal 2 7 2" xfId="2305"/>
    <cellStyle name="Normal 2 7 3" xfId="2382"/>
    <cellStyle name="Normal 2 8" xfId="1569"/>
    <cellStyle name="Normal 2 8 2" xfId="4884"/>
    <cellStyle name="Normal 2 9" xfId="1570"/>
    <cellStyle name="Normal 2 9 2" xfId="4885"/>
    <cellStyle name="Normal 2_05-12  KH trung han 2016-2020 - Liem Thinh edited" xfId="4886"/>
    <cellStyle name="Normal 20" xfId="1571"/>
    <cellStyle name="Normal 20 2" xfId="4887"/>
    <cellStyle name="Normal 200" xfId="1572"/>
    <cellStyle name="Normal 200 2" xfId="1573"/>
    <cellStyle name="Normal 200 2 2" xfId="1574"/>
    <cellStyle name="Normal 200 3" xfId="1575"/>
    <cellStyle name="Normal 201" xfId="1576"/>
    <cellStyle name="Normal 201 2" xfId="1577"/>
    <cellStyle name="Normal 201 2 2" xfId="1578"/>
    <cellStyle name="Normal 201 3" xfId="1579"/>
    <cellStyle name="Normal 202" xfId="1580"/>
    <cellStyle name="Normal 202 2" xfId="1581"/>
    <cellStyle name="Normal 202 2 2" xfId="1582"/>
    <cellStyle name="Normal 202 3" xfId="1583"/>
    <cellStyle name="Normal 203" xfId="1584"/>
    <cellStyle name="Normal 203 2" xfId="1585"/>
    <cellStyle name="Normal 203 2 2" xfId="1586"/>
    <cellStyle name="Normal 203 3" xfId="1587"/>
    <cellStyle name="Normal 204" xfId="1588"/>
    <cellStyle name="Normal 204 2" xfId="1589"/>
    <cellStyle name="Normal 204 2 2" xfId="1590"/>
    <cellStyle name="Normal 204 3" xfId="1591"/>
    <cellStyle name="Normal 205" xfId="1592"/>
    <cellStyle name="Normal 205 2" xfId="1593"/>
    <cellStyle name="Normal 205 2 2" xfId="1594"/>
    <cellStyle name="Normal 205 3" xfId="1595"/>
    <cellStyle name="Normal 206" xfId="1596"/>
    <cellStyle name="Normal 206 2" xfId="1597"/>
    <cellStyle name="Normal 206 2 2" xfId="1598"/>
    <cellStyle name="Normal 206 3" xfId="1599"/>
    <cellStyle name="Normal 207" xfId="1600"/>
    <cellStyle name="Normal 207 2" xfId="1601"/>
    <cellStyle name="Normal 207 2 2" xfId="1602"/>
    <cellStyle name="Normal 207 3" xfId="1603"/>
    <cellStyle name="Normal 208" xfId="1604"/>
    <cellStyle name="Normal 208 2" xfId="1605"/>
    <cellStyle name="Normal 208 2 2" xfId="1606"/>
    <cellStyle name="Normal 208 3" xfId="1607"/>
    <cellStyle name="Normal 209" xfId="1608"/>
    <cellStyle name="Normal 209 2" xfId="1609"/>
    <cellStyle name="Normal 209 2 2" xfId="1610"/>
    <cellStyle name="Normal 209 3" xfId="1611"/>
    <cellStyle name="Normal 21" xfId="1612"/>
    <cellStyle name="Normal 21 2" xfId="4888"/>
    <cellStyle name="Normal 210" xfId="1613"/>
    <cellStyle name="Normal 210 2" xfId="1614"/>
    <cellStyle name="Normal 210 2 2" xfId="1615"/>
    <cellStyle name="Normal 210 3" xfId="1616"/>
    <cellStyle name="Normal 211" xfId="1617"/>
    <cellStyle name="Normal 211 2" xfId="1618"/>
    <cellStyle name="Normal 211 2 2" xfId="1619"/>
    <cellStyle name="Normal 211 3" xfId="1620"/>
    <cellStyle name="Normal 212" xfId="1621"/>
    <cellStyle name="Normal 212 2" xfId="1622"/>
    <cellStyle name="Normal 212 2 2" xfId="1623"/>
    <cellStyle name="Normal 212 3" xfId="1624"/>
    <cellStyle name="Normal 213" xfId="1625"/>
    <cellStyle name="Normal 213 2" xfId="1626"/>
    <cellStyle name="Normal 213 2 2" xfId="1627"/>
    <cellStyle name="Normal 213 3" xfId="1628"/>
    <cellStyle name="Normal 214" xfId="1629"/>
    <cellStyle name="Normal 214 2" xfId="1630"/>
    <cellStyle name="Normal 214 2 2" xfId="1631"/>
    <cellStyle name="Normal 214 3" xfId="1632"/>
    <cellStyle name="Normal 215" xfId="1633"/>
    <cellStyle name="Normal 215 2" xfId="1634"/>
    <cellStyle name="Normal 215 2 2" xfId="1635"/>
    <cellStyle name="Normal 215 3" xfId="1636"/>
    <cellStyle name="Normal 216" xfId="1637"/>
    <cellStyle name="Normal 216 2" xfId="1638"/>
    <cellStyle name="Normal 216 2 2" xfId="1639"/>
    <cellStyle name="Normal 216 3" xfId="1640"/>
    <cellStyle name="Normal 217" xfId="1641"/>
    <cellStyle name="Normal 217 2" xfId="1642"/>
    <cellStyle name="Normal 217 2 2" xfId="1643"/>
    <cellStyle name="Normal 217 3" xfId="1644"/>
    <cellStyle name="Normal 218" xfId="1645"/>
    <cellStyle name="Normal 218 2" xfId="1646"/>
    <cellStyle name="Normal 218 2 2" xfId="1647"/>
    <cellStyle name="Normal 218 3" xfId="1648"/>
    <cellStyle name="Normal 219" xfId="1649"/>
    <cellStyle name="Normal 219 2" xfId="1650"/>
    <cellStyle name="Normal 219 2 2" xfId="1651"/>
    <cellStyle name="Normal 219 3" xfId="1652"/>
    <cellStyle name="Normal 22" xfId="1653"/>
    <cellStyle name="Normal 22 2" xfId="4889"/>
    <cellStyle name="Normal 220" xfId="1654"/>
    <cellStyle name="Normal 220 2" xfId="1655"/>
    <cellStyle name="Normal 220 2 2" xfId="1656"/>
    <cellStyle name="Normal 220 3" xfId="1657"/>
    <cellStyle name="Normal 221" xfId="1658"/>
    <cellStyle name="Normal 221 2" xfId="1659"/>
    <cellStyle name="Normal 221 2 2" xfId="1660"/>
    <cellStyle name="Normal 221 3" xfId="1661"/>
    <cellStyle name="Normal 222" xfId="1662"/>
    <cellStyle name="Normal 222 2" xfId="1663"/>
    <cellStyle name="Normal 222 2 2" xfId="1664"/>
    <cellStyle name="Normal 222 3" xfId="1665"/>
    <cellStyle name="Normal 223" xfId="1666"/>
    <cellStyle name="Normal 223 2" xfId="1667"/>
    <cellStyle name="Normal 223 2 2" xfId="1668"/>
    <cellStyle name="Normal 223 3" xfId="1669"/>
    <cellStyle name="Normal 224" xfId="1670"/>
    <cellStyle name="Normal 224 2" xfId="1671"/>
    <cellStyle name="Normal 224 2 2" xfId="1672"/>
    <cellStyle name="Normal 224 3" xfId="1673"/>
    <cellStyle name="Normal 225" xfId="1674"/>
    <cellStyle name="Normal 225 2" xfId="1675"/>
    <cellStyle name="Normal 225 2 2" xfId="1676"/>
    <cellStyle name="Normal 225 3" xfId="1677"/>
    <cellStyle name="Normal 226" xfId="1678"/>
    <cellStyle name="Normal 226 2" xfId="1679"/>
    <cellStyle name="Normal 226 2 2" xfId="1680"/>
    <cellStyle name="Normal 226 3" xfId="1681"/>
    <cellStyle name="Normal 227" xfId="1682"/>
    <cellStyle name="Normal 227 2" xfId="1683"/>
    <cellStyle name="Normal 227 2 2" xfId="1684"/>
    <cellStyle name="Normal 227 3" xfId="1685"/>
    <cellStyle name="Normal 228" xfId="1686"/>
    <cellStyle name="Normal 228 2" xfId="1687"/>
    <cellStyle name="Normal 228 2 2" xfId="1688"/>
    <cellStyle name="Normal 228 3" xfId="1689"/>
    <cellStyle name="Normal 229" xfId="1690"/>
    <cellStyle name="Normal 229 2" xfId="1691"/>
    <cellStyle name="Normal 229 2 2" xfId="1692"/>
    <cellStyle name="Normal 229 3" xfId="1693"/>
    <cellStyle name="Normal 23" xfId="1694"/>
    <cellStyle name="Normal 23 2" xfId="4890"/>
    <cellStyle name="Normal 23 3" xfId="4891"/>
    <cellStyle name="Normal 230" xfId="1695"/>
    <cellStyle name="Normal 230 2" xfId="1696"/>
    <cellStyle name="Normal 230 2 2" xfId="1697"/>
    <cellStyle name="Normal 230 3" xfId="1698"/>
    <cellStyle name="Normal 231" xfId="1699"/>
    <cellStyle name="Normal 232" xfId="1700"/>
    <cellStyle name="Normal 232 2" xfId="1701"/>
    <cellStyle name="Normal 233" xfId="1702"/>
    <cellStyle name="Normal 233 2" xfId="1703"/>
    <cellStyle name="Normal 234" xfId="1704"/>
    <cellStyle name="Normal 235" xfId="1705"/>
    <cellStyle name="Normal 235 2" xfId="1706"/>
    <cellStyle name="Normal 236" xfId="1707"/>
    <cellStyle name="Normal 236 2" xfId="1708"/>
    <cellStyle name="Normal 237" xfId="1709"/>
    <cellStyle name="Normal 237 2" xfId="1710"/>
    <cellStyle name="Normal 238" xfId="1711"/>
    <cellStyle name="Normal 238 2" xfId="1712"/>
    <cellStyle name="Normal 239" xfId="1713"/>
    <cellStyle name="Normal 239 2" xfId="1714"/>
    <cellStyle name="Normal 24" xfId="1715"/>
    <cellStyle name="Normal 24 2" xfId="4892"/>
    <cellStyle name="Normal 24 2 2" xfId="4893"/>
    <cellStyle name="Normal 240" xfId="1716"/>
    <cellStyle name="Normal 240 2" xfId="1717"/>
    <cellStyle name="Normal 241" xfId="1718"/>
    <cellStyle name="Normal 241 2" xfId="1719"/>
    <cellStyle name="Normal 242" xfId="1720"/>
    <cellStyle name="Normal 242 2" xfId="1721"/>
    <cellStyle name="Normal 243" xfId="1722"/>
    <cellStyle name="Normal 243 2" xfId="1723"/>
    <cellStyle name="Normal 244" xfId="1724"/>
    <cellStyle name="Normal 244 2" xfId="1725"/>
    <cellStyle name="Normal 245" xfId="1726"/>
    <cellStyle name="Normal 245 2" xfId="1727"/>
    <cellStyle name="Normal 246" xfId="1728"/>
    <cellStyle name="Normal 246 2" xfId="1729"/>
    <cellStyle name="Normal 247" xfId="1730"/>
    <cellStyle name="Normal 247 2" xfId="1731"/>
    <cellStyle name="Normal 248" xfId="1732"/>
    <cellStyle name="Normal 248 2" xfId="1733"/>
    <cellStyle name="Normal 249" xfId="1734"/>
    <cellStyle name="Normal 249 2" xfId="1735"/>
    <cellStyle name="Normal 25" xfId="1736"/>
    <cellStyle name="Normal 25 2" xfId="4894"/>
    <cellStyle name="Normal 25 3" xfId="4895"/>
    <cellStyle name="Normal 250" xfId="1737"/>
    <cellStyle name="Normal 250 2" xfId="1738"/>
    <cellStyle name="Normal 251" xfId="1739"/>
    <cellStyle name="Normal 251 2" xfId="1740"/>
    <cellStyle name="Normal 252" xfId="1741"/>
    <cellStyle name="Normal 252 2" xfId="1742"/>
    <cellStyle name="Normal 253" xfId="1743"/>
    <cellStyle name="Normal 253 2" xfId="1744"/>
    <cellStyle name="Normal 254" xfId="1745"/>
    <cellStyle name="Normal 254 2" xfId="1746"/>
    <cellStyle name="Normal 255" xfId="1747"/>
    <cellStyle name="Normal 255 2" xfId="1748"/>
    <cellStyle name="Normal 256" xfId="1749"/>
    <cellStyle name="Normal 256 2" xfId="1750"/>
    <cellStyle name="Normal 257" xfId="1751"/>
    <cellStyle name="Normal 257 2" xfId="1752"/>
    <cellStyle name="Normal 258" xfId="1753"/>
    <cellStyle name="Normal 258 2" xfId="1754"/>
    <cellStyle name="Normal 259" xfId="1755"/>
    <cellStyle name="Normal 259 2" xfId="1756"/>
    <cellStyle name="Normal 26" xfId="1757"/>
    <cellStyle name="Normal 26 2" xfId="4896"/>
    <cellStyle name="Normal 260" xfId="1758"/>
    <cellStyle name="Normal 260 2" xfId="1759"/>
    <cellStyle name="Normal 261" xfId="1760"/>
    <cellStyle name="Normal 261 2" xfId="1761"/>
    <cellStyle name="Normal 262" xfId="1762"/>
    <cellStyle name="Normal 262 2" xfId="1763"/>
    <cellStyle name="Normal 263" xfId="1764"/>
    <cellStyle name="Normal 263 2" xfId="1765"/>
    <cellStyle name="Normal 264" xfId="1766"/>
    <cellStyle name="Normal 264 2" xfId="1767"/>
    <cellStyle name="Normal 265" xfId="1768"/>
    <cellStyle name="Normal 265 2" xfId="1769"/>
    <cellStyle name="Normal 266" xfId="1770"/>
    <cellStyle name="Normal 266 2" xfId="1771"/>
    <cellStyle name="Normal 267" xfId="1772"/>
    <cellStyle name="Normal 267 2" xfId="1773"/>
    <cellStyle name="Normal 268" xfId="1774"/>
    <cellStyle name="Normal 268 2" xfId="1775"/>
    <cellStyle name="Normal 269" xfId="1776"/>
    <cellStyle name="Normal 269 2" xfId="1777"/>
    <cellStyle name="Normal 27" xfId="1778"/>
    <cellStyle name="Normal 27 2" xfId="4897"/>
    <cellStyle name="Normal 270" xfId="1779"/>
    <cellStyle name="Normal 270 2" xfId="1780"/>
    <cellStyle name="Normal 271" xfId="1781"/>
    <cellStyle name="Normal 271 2" xfId="1782"/>
    <cellStyle name="Normal 272" xfId="1783"/>
    <cellStyle name="Normal 272 2" xfId="1784"/>
    <cellStyle name="Normal 273" xfId="1785"/>
    <cellStyle name="Normal 273 2" xfId="1786"/>
    <cellStyle name="Normal 274" xfId="1787"/>
    <cellStyle name="Normal 274 2" xfId="1788"/>
    <cellStyle name="Normal 275" xfId="1789"/>
    <cellStyle name="Normal 275 2" xfId="1790"/>
    <cellStyle name="Normal 276" xfId="1791"/>
    <cellStyle name="Normal 276 2" xfId="1792"/>
    <cellStyle name="Normal 277" xfId="1793"/>
    <cellStyle name="Normal 277 2" xfId="1794"/>
    <cellStyle name="Normal 278" xfId="1795"/>
    <cellStyle name="Normal 278 2" xfId="1796"/>
    <cellStyle name="Normal 279" xfId="1797"/>
    <cellStyle name="Normal 279 2" xfId="1798"/>
    <cellStyle name="Normal 28" xfId="1799"/>
    <cellStyle name="Normal 28 2" xfId="4898"/>
    <cellStyle name="Normal 280" xfId="1800"/>
    <cellStyle name="Normal 280 2" xfId="1801"/>
    <cellStyle name="Normal 281" xfId="1802"/>
    <cellStyle name="Normal 281 2" xfId="1803"/>
    <cellStyle name="Normal 282" xfId="1804"/>
    <cellStyle name="Normal 283" xfId="1805"/>
    <cellStyle name="Normal 284" xfId="1806"/>
    <cellStyle name="Normal 285" xfId="1807"/>
    <cellStyle name="Normal 286" xfId="1808"/>
    <cellStyle name="Normal 287" xfId="1809"/>
    <cellStyle name="Normal 288" xfId="1810"/>
    <cellStyle name="Normal 289" xfId="1811"/>
    <cellStyle name="Normal 29" xfId="1812"/>
    <cellStyle name="Normal 29 2" xfId="4899"/>
    <cellStyle name="Normal 290" xfId="1813"/>
    <cellStyle name="Normal 291" xfId="1814"/>
    <cellStyle name="Normal 292" xfId="1815"/>
    <cellStyle name="Normal 293" xfId="1816"/>
    <cellStyle name="Normal 294" xfId="1817"/>
    <cellStyle name="Normal 295" xfId="1818"/>
    <cellStyle name="Normal 296" xfId="1819"/>
    <cellStyle name="Normal 297" xfId="1820"/>
    <cellStyle name="Normal 298" xfId="1821"/>
    <cellStyle name="Normal 299" xfId="1822"/>
    <cellStyle name="Normal 3" xfId="45"/>
    <cellStyle name="Normal 3 10" xfId="4900"/>
    <cellStyle name="Normal 3 11" xfId="4901"/>
    <cellStyle name="Normal 3 12" xfId="4902"/>
    <cellStyle name="Normal 3 13" xfId="4903"/>
    <cellStyle name="Normal 3 14" xfId="4904"/>
    <cellStyle name="Normal 3 15" xfId="4905"/>
    <cellStyle name="Normal 3 16" xfId="4906"/>
    <cellStyle name="Normal 3 17" xfId="4907"/>
    <cellStyle name="Normal 3 18" xfId="4908"/>
    <cellStyle name="Normal 3 2" xfId="2383"/>
    <cellStyle name="Normal 3 2 2" xfId="4909"/>
    <cellStyle name="Normal 3 2 2 2" xfId="4910"/>
    <cellStyle name="Normal 3 2 3" xfId="4911"/>
    <cellStyle name="Normal 3 2 3 2" xfId="4912"/>
    <cellStyle name="Normal 3 2 4" xfId="4913"/>
    <cellStyle name="Normal 3 2 5" xfId="4914"/>
    <cellStyle name="Normal 3 2 5 2" xfId="4915"/>
    <cellStyle name="Normal 3 2 6" xfId="4916"/>
    <cellStyle name="Normal 3 2 6 2" xfId="4917"/>
    <cellStyle name="Normal 3 2 7" xfId="4918"/>
    <cellStyle name="Normal 3 3" xfId="4919"/>
    <cellStyle name="Normal 3 3 2" xfId="4920"/>
    <cellStyle name="Normal 3 4" xfId="4921"/>
    <cellStyle name="Normal 3 4 2" xfId="4922"/>
    <cellStyle name="Normal 3 5" xfId="4923"/>
    <cellStyle name="Normal 3 6" xfId="4924"/>
    <cellStyle name="Normal 3 7" xfId="4925"/>
    <cellStyle name="Normal 3 8" xfId="4926"/>
    <cellStyle name="Normal 3 9" xfId="4927"/>
    <cellStyle name="Normal 3_Bieu TH TPCP Vung TNB ngay 4-1-2012" xfId="4928"/>
    <cellStyle name="Normal 30" xfId="1823"/>
    <cellStyle name="Normal 30 10" xfId="1824"/>
    <cellStyle name="Normal 30 11" xfId="1825"/>
    <cellStyle name="Normal 30 12" xfId="1826"/>
    <cellStyle name="Normal 30 13" xfId="1827"/>
    <cellStyle name="Normal 30 14" xfId="1828"/>
    <cellStyle name="Normal 30 15" xfId="1829"/>
    <cellStyle name="Normal 30 16" xfId="1830"/>
    <cellStyle name="Normal 30 17" xfId="1831"/>
    <cellStyle name="Normal 30 18" xfId="1832"/>
    <cellStyle name="Normal 30 2" xfId="1833"/>
    <cellStyle name="Normal 30 2 2" xfId="4929"/>
    <cellStyle name="Normal 30 3" xfId="1834"/>
    <cellStyle name="Normal 30 3 2" xfId="4930"/>
    <cellStyle name="Normal 30 4" xfId="1835"/>
    <cellStyle name="Normal 30 5" xfId="1836"/>
    <cellStyle name="Normal 30 6" xfId="1837"/>
    <cellStyle name="Normal 30 7" xfId="1838"/>
    <cellStyle name="Normal 30 8" xfId="1839"/>
    <cellStyle name="Normal 30 9" xfId="1840"/>
    <cellStyle name="Normal 300" xfId="1841"/>
    <cellStyle name="Normal 301" xfId="1842"/>
    <cellStyle name="Normal 302" xfId="1843"/>
    <cellStyle name="Normal 303" xfId="1844"/>
    <cellStyle name="Normal 304" xfId="1845"/>
    <cellStyle name="Normal 305" xfId="1846"/>
    <cellStyle name="Normal 306" xfId="1847"/>
    <cellStyle name="Normal 307" xfId="1848"/>
    <cellStyle name="Normal 308" xfId="1849"/>
    <cellStyle name="Normal 309" xfId="1850"/>
    <cellStyle name="Normal 31" xfId="1851"/>
    <cellStyle name="Normal 31 10" xfId="1852"/>
    <cellStyle name="Normal 31 11" xfId="1853"/>
    <cellStyle name="Normal 31 12" xfId="1854"/>
    <cellStyle name="Normal 31 13" xfId="1855"/>
    <cellStyle name="Normal 31 14" xfId="1856"/>
    <cellStyle name="Normal 31 15" xfId="1857"/>
    <cellStyle name="Normal 31 16" xfId="1858"/>
    <cellStyle name="Normal 31 17" xfId="1859"/>
    <cellStyle name="Normal 31 18" xfId="1860"/>
    <cellStyle name="Normal 31 2" xfId="1861"/>
    <cellStyle name="Normal 31 2 2" xfId="4931"/>
    <cellStyle name="Normal 31 3" xfId="1862"/>
    <cellStyle name="Normal 31 3 2" xfId="4932"/>
    <cellStyle name="Normal 31 4" xfId="1863"/>
    <cellStyle name="Normal 31 5" xfId="1864"/>
    <cellStyle name="Normal 31 6" xfId="1865"/>
    <cellStyle name="Normal 31 7" xfId="1866"/>
    <cellStyle name="Normal 31 8" xfId="1867"/>
    <cellStyle name="Normal 31 9" xfId="1868"/>
    <cellStyle name="Normal 310" xfId="1869"/>
    <cellStyle name="Normal 311" xfId="1870"/>
    <cellStyle name="Normal 312" xfId="1871"/>
    <cellStyle name="Normal 313" xfId="1872"/>
    <cellStyle name="Normal 314" xfId="1873"/>
    <cellStyle name="Normal 315" xfId="1874"/>
    <cellStyle name="Normal 316" xfId="1875"/>
    <cellStyle name="Normal 317" xfId="1876"/>
    <cellStyle name="Normal 318" xfId="1877"/>
    <cellStyle name="Normal 319" xfId="1878"/>
    <cellStyle name="Normal 32" xfId="1879"/>
    <cellStyle name="Normal 32 2" xfId="4933"/>
    <cellStyle name="Normal 32 2 2" xfId="4934"/>
    <cellStyle name="Normal 320" xfId="1880"/>
    <cellStyle name="Normal 321" xfId="1881"/>
    <cellStyle name="Normal 322" xfId="1882"/>
    <cellStyle name="Normal 323" xfId="1883"/>
    <cellStyle name="Normal 324" xfId="1884"/>
    <cellStyle name="Normal 325" xfId="1885"/>
    <cellStyle name="Normal 326" xfId="1886"/>
    <cellStyle name="Normal 327" xfId="1887"/>
    <cellStyle name="Normal 328" xfId="1888"/>
    <cellStyle name="Normal 329" xfId="1889"/>
    <cellStyle name="Normal 33" xfId="1890"/>
    <cellStyle name="Normal 33 2" xfId="4935"/>
    <cellStyle name="Normal 330" xfId="1891"/>
    <cellStyle name="Normal 331" xfId="76"/>
    <cellStyle name="Normal 332" xfId="1892"/>
    <cellStyle name="Normal 333" xfId="70"/>
    <cellStyle name="Normal 334" xfId="1893"/>
    <cellStyle name="Normal 335" xfId="2276"/>
    <cellStyle name="Normal 336" xfId="61"/>
    <cellStyle name="Normal 336 2" xfId="2365"/>
    <cellStyle name="Normal 337" xfId="69"/>
    <cellStyle name="Normal 337 2" xfId="2470"/>
    <cellStyle name="Normal 338" xfId="2431"/>
    <cellStyle name="Normal 338 2" xfId="2442"/>
    <cellStyle name="Normal 339" xfId="2277"/>
    <cellStyle name="Normal 339 2" xfId="2468"/>
    <cellStyle name="Normal 34" xfId="1894"/>
    <cellStyle name="Normal 340" xfId="2426"/>
    <cellStyle name="Normal 340 2" xfId="2444"/>
    <cellStyle name="Normal 341" xfId="2283"/>
    <cellStyle name="Normal 342" xfId="2446"/>
    <cellStyle name="Normal 343" xfId="2465"/>
    <cellStyle name="Normal 344" xfId="2448"/>
    <cellStyle name="Normal 345" xfId="2456"/>
    <cellStyle name="Normal 346" xfId="2459"/>
    <cellStyle name="Normal 347" xfId="2461"/>
    <cellStyle name="Normal 348" xfId="2463"/>
    <cellStyle name="Normal 349" xfId="2472"/>
    <cellStyle name="Normal 35" xfId="1895"/>
    <cellStyle name="Normal 350" xfId="2473"/>
    <cellStyle name="Normal 351" xfId="2474"/>
    <cellStyle name="Normal 352" xfId="2450"/>
    <cellStyle name="Normal 353" xfId="2452"/>
    <cellStyle name="Normal 354" xfId="2479"/>
    <cellStyle name="Normal 355" xfId="2480"/>
    <cellStyle name="Normal 356" xfId="2476"/>
    <cellStyle name="Normal 357" xfId="2483"/>
    <cellStyle name="Normal 358" xfId="2485"/>
    <cellStyle name="Normal 359" xfId="2487"/>
    <cellStyle name="Normal 36" xfId="1896"/>
    <cellStyle name="Normal 360" xfId="2489"/>
    <cellStyle name="Normal 361" xfId="2491"/>
    <cellStyle name="Normal 362" xfId="2493"/>
    <cellStyle name="Normal 363" xfId="2495"/>
    <cellStyle name="Normal 364" xfId="2497"/>
    <cellStyle name="Normal 365" xfId="2499"/>
    <cellStyle name="Normal 366" xfId="2501"/>
    <cellStyle name="Normal 367" xfId="2503"/>
    <cellStyle name="Normal 368" xfId="2505"/>
    <cellStyle name="Normal 369" xfId="2507"/>
    <cellStyle name="Normal 37" xfId="1897"/>
    <cellStyle name="Normal 37 2" xfId="4936"/>
    <cellStyle name="Normal 37 2 2" xfId="4937"/>
    <cellStyle name="Normal 37 2 3" xfId="4938"/>
    <cellStyle name="Normal 37 3" xfId="4939"/>
    <cellStyle name="Normal 37 3 2" xfId="4940"/>
    <cellStyle name="Normal 37 4" xfId="4941"/>
    <cellStyle name="Normal 370" xfId="2508"/>
    <cellStyle name="Normal 371" xfId="2509"/>
    <cellStyle name="Normal 372" xfId="2512"/>
    <cellStyle name="Normal 373" xfId="2515"/>
    <cellStyle name="Normal 374" xfId="2517"/>
    <cellStyle name="Normal 375" xfId="2518"/>
    <cellStyle name="Normal 376" xfId="2520"/>
    <cellStyle name="Normal 377" xfId="2525"/>
    <cellStyle name="Normal 378" xfId="2528"/>
    <cellStyle name="Normal 379" xfId="2529"/>
    <cellStyle name="Normal 38" xfId="1898"/>
    <cellStyle name="Normal 38 2" xfId="4942"/>
    <cellStyle name="Normal 38 2 2" xfId="4943"/>
    <cellStyle name="Normal 380" xfId="2521"/>
    <cellStyle name="Normal 381" xfId="2532"/>
    <cellStyle name="Normal 382" xfId="2534"/>
    <cellStyle name="Normal 383" xfId="2536"/>
    <cellStyle name="Normal 384" xfId="2538"/>
    <cellStyle name="Normal 385" xfId="2540"/>
    <cellStyle name="Normal 386" xfId="2542"/>
    <cellStyle name="Normal 387" xfId="2544"/>
    <cellStyle name="Normal 388" xfId="2546"/>
    <cellStyle name="Normal 389" xfId="2548"/>
    <cellStyle name="Normal 39" xfId="1899"/>
    <cellStyle name="Normal 39 2" xfId="4944"/>
    <cellStyle name="Normal 39 2 2" xfId="4945"/>
    <cellStyle name="Normal 39 3" xfId="4946"/>
    <cellStyle name="Normal 39 3 2" xfId="4947"/>
    <cellStyle name="Normal 390" xfId="2550"/>
    <cellStyle name="Normal 391" xfId="2552"/>
    <cellStyle name="Normal 392" xfId="2554"/>
    <cellStyle name="Normal 393" xfId="2556"/>
    <cellStyle name="Normal 394" xfId="2558"/>
    <cellStyle name="Normal 395" xfId="2559"/>
    <cellStyle name="Normal 396" xfId="2560"/>
    <cellStyle name="Normal 397" xfId="2566"/>
    <cellStyle name="Normal 398" xfId="2569"/>
    <cellStyle name="Normal 399" xfId="2570"/>
    <cellStyle name="Normal 4" xfId="46"/>
    <cellStyle name="Normal 4 10" xfId="4948"/>
    <cellStyle name="Normal 4 11" xfId="4949"/>
    <cellStyle name="Normal 4 12" xfId="4950"/>
    <cellStyle name="Normal 4 13" xfId="4951"/>
    <cellStyle name="Normal 4 14" xfId="4952"/>
    <cellStyle name="Normal 4 15" xfId="4953"/>
    <cellStyle name="Normal 4 16" xfId="4954"/>
    <cellStyle name="Normal 4 17" xfId="4955"/>
    <cellStyle name="Normal 4 2" xfId="47"/>
    <cellStyle name="Normal 4 2 2" xfId="1900"/>
    <cellStyle name="Normal 4 2 3" xfId="1901"/>
    <cellStyle name="Normal 4 2 4" xfId="1902"/>
    <cellStyle name="Normal 4 2 5" xfId="1903"/>
    <cellStyle name="Normal 4 3" xfId="1904"/>
    <cellStyle name="Normal 4 3 2" xfId="2297"/>
    <cellStyle name="Normal 4 3 3" xfId="2369"/>
    <cellStyle name="Normal 4 4" xfId="1905"/>
    <cellStyle name="Normal 4 5" xfId="1906"/>
    <cellStyle name="Normal 4 6" xfId="1907"/>
    <cellStyle name="Normal 4 7" xfId="4956"/>
    <cellStyle name="Normal 4 8" xfId="4957"/>
    <cellStyle name="Normal 4 9" xfId="4958"/>
    <cellStyle name="Normal 4_Bang bieu" xfId="48"/>
    <cellStyle name="Normal 40" xfId="1908"/>
    <cellStyle name="Normal 400" xfId="2561"/>
    <cellStyle name="Normal 401" xfId="2572"/>
    <cellStyle name="Normal 402" xfId="2578"/>
    <cellStyle name="Normal 403" xfId="2575"/>
    <cellStyle name="Normal 404" xfId="2579"/>
    <cellStyle name="Normal 405" xfId="2421"/>
    <cellStyle name="Normal 405 2" xfId="2701"/>
    <cellStyle name="Normal 406" xfId="2441"/>
    <cellStyle name="Normal 406 2" xfId="2702"/>
    <cellStyle name="Normal 407" xfId="2582"/>
    <cellStyle name="Normal 407 2" xfId="2703"/>
    <cellStyle name="Normal 408" xfId="2363"/>
    <cellStyle name="Normal 409" xfId="2296"/>
    <cellStyle name="Normal 41" xfId="1909"/>
    <cellStyle name="Normal 410" xfId="2358"/>
    <cellStyle name="Normal 411" xfId="2587"/>
    <cellStyle name="Normal 412" xfId="2586"/>
    <cellStyle name="Normal 413" xfId="2299"/>
    <cellStyle name="Normal 414" xfId="2583"/>
    <cellStyle name="Normal 415" xfId="2301"/>
    <cellStyle name="Normal 416" xfId="2589"/>
    <cellStyle name="Normal 417" xfId="2292"/>
    <cellStyle name="Normal 418" xfId="2303"/>
    <cellStyle name="Normal 419" xfId="2349"/>
    <cellStyle name="Normal 42" xfId="1910"/>
    <cellStyle name="Normal 420" xfId="2302"/>
    <cellStyle name="Normal 421" xfId="2585"/>
    <cellStyle name="Normal 422" xfId="2588"/>
    <cellStyle name="Normal 423" xfId="2360"/>
    <cellStyle name="Normal 424" xfId="2357"/>
    <cellStyle name="Normal 425" xfId="2435"/>
    <cellStyle name="Normal 426" xfId="67"/>
    <cellStyle name="Normal 427" xfId="2332"/>
    <cellStyle name="Normal 428" xfId="2591"/>
    <cellStyle name="Normal 429" xfId="2331"/>
    <cellStyle name="Normal 43" xfId="1911"/>
    <cellStyle name="Normal 430" xfId="2319"/>
    <cellStyle name="Normal 431" xfId="2596"/>
    <cellStyle name="Normal 432" xfId="2298"/>
    <cellStyle name="Normal 433" xfId="2595"/>
    <cellStyle name="Normal 434" xfId="2590"/>
    <cellStyle name="Normal 435" xfId="2594"/>
    <cellStyle name="Normal 436" xfId="2282"/>
    <cellStyle name="Normal 437" xfId="2593"/>
    <cellStyle name="Normal 438" xfId="2281"/>
    <cellStyle name="Normal 439" xfId="2598"/>
    <cellStyle name="Normal 44" xfId="1912"/>
    <cellStyle name="Normal 440" xfId="2287"/>
    <cellStyle name="Normal 441" xfId="2600"/>
    <cellStyle name="Normal 442" xfId="2300"/>
    <cellStyle name="Normal 443" xfId="2361"/>
    <cellStyle name="Normal 444" xfId="2597"/>
    <cellStyle name="Normal 445" xfId="2592"/>
    <cellStyle name="Normal 446" xfId="2584"/>
    <cellStyle name="Normal 447" xfId="2323"/>
    <cellStyle name="Normal 448" xfId="2362"/>
    <cellStyle name="Normal 449" xfId="2601"/>
    <cellStyle name="Normal 45" xfId="1913"/>
    <cellStyle name="Normal 450" xfId="2581"/>
    <cellStyle name="Normal 451" xfId="2599"/>
    <cellStyle name="Normal 452" xfId="2602"/>
    <cellStyle name="Normal 452 2" xfId="2704"/>
    <cellStyle name="Normal 453" xfId="2619"/>
    <cellStyle name="Normal 453 2" xfId="2716"/>
    <cellStyle name="Normal 454" xfId="2620"/>
    <cellStyle name="Normal 454 2" xfId="2717"/>
    <cellStyle name="Normal 455" xfId="2618"/>
    <cellStyle name="Normal 455 2" xfId="2715"/>
    <cellStyle name="Normal 456" xfId="2604"/>
    <cellStyle name="Normal 456 2" xfId="2705"/>
    <cellStyle name="Normal 457" xfId="2621"/>
    <cellStyle name="Normal 457 2" xfId="2718"/>
    <cellStyle name="Normal 458" xfId="2607"/>
    <cellStyle name="Normal 458 2" xfId="2708"/>
    <cellStyle name="Normal 459" xfId="2617"/>
    <cellStyle name="Normal 459 2" xfId="2714"/>
    <cellStyle name="Normal 46" xfId="1914"/>
    <cellStyle name="Normal 46 2" xfId="4959"/>
    <cellStyle name="Normal 460" xfId="2623"/>
    <cellStyle name="Normal 460 2" xfId="2719"/>
    <cellStyle name="Normal 461" xfId="2606"/>
    <cellStyle name="Normal 461 2" xfId="2707"/>
    <cellStyle name="Normal 462" xfId="2614"/>
    <cellStyle name="Normal 462 2" xfId="2711"/>
    <cellStyle name="Normal 463" xfId="2616"/>
    <cellStyle name="Normal 463 2" xfId="2713"/>
    <cellStyle name="Normal 464" xfId="2615"/>
    <cellStyle name="Normal 464 2" xfId="2712"/>
    <cellStyle name="Normal 465" xfId="2624"/>
    <cellStyle name="Normal 465 2" xfId="2720"/>
    <cellStyle name="Normal 466" xfId="2626"/>
    <cellStyle name="Normal 466 2" xfId="2722"/>
    <cellStyle name="Normal 467" xfId="2611"/>
    <cellStyle name="Normal 467 2" xfId="2710"/>
    <cellStyle name="Normal 468" xfId="2605"/>
    <cellStyle name="Normal 468 2" xfId="2706"/>
    <cellStyle name="Normal 469" xfId="2625"/>
    <cellStyle name="Normal 469 2" xfId="2721"/>
    <cellStyle name="Normal 47" xfId="1915"/>
    <cellStyle name="Normal 470" xfId="2631"/>
    <cellStyle name="Normal 470 2" xfId="2724"/>
    <cellStyle name="Normal 471" xfId="2628"/>
    <cellStyle name="Normal 471 2" xfId="2723"/>
    <cellStyle name="Normal 472" xfId="2609"/>
    <cellStyle name="Normal 472 2" xfId="2709"/>
    <cellStyle name="Normal 473" xfId="2630"/>
    <cellStyle name="Normal 474" xfId="2610"/>
    <cellStyle name="Normal 475" xfId="2629"/>
    <cellStyle name="Normal 476" xfId="2603"/>
    <cellStyle name="Normal 477" xfId="2608"/>
    <cellStyle name="Normal 478" xfId="2632"/>
    <cellStyle name="Normal 479" xfId="2613"/>
    <cellStyle name="Normal 48" xfId="1916"/>
    <cellStyle name="Normal 480" xfId="2622"/>
    <cellStyle name="Normal 481" xfId="2627"/>
    <cellStyle name="Normal 482" xfId="2634"/>
    <cellStyle name="Normal 483" xfId="2633"/>
    <cellStyle name="Normal 484" xfId="2612"/>
    <cellStyle name="Normal 485" xfId="2635"/>
    <cellStyle name="Normal 486" xfId="2647"/>
    <cellStyle name="Normal 487" xfId="2648"/>
    <cellStyle name="Normal 488" xfId="2646"/>
    <cellStyle name="Normal 489" xfId="2638"/>
    <cellStyle name="Normal 49" xfId="1917"/>
    <cellStyle name="Normal 490" xfId="2653"/>
    <cellStyle name="Normal 491" xfId="2645"/>
    <cellStyle name="Normal 492" xfId="2652"/>
    <cellStyle name="Normal 493" xfId="2644"/>
    <cellStyle name="Normal 494" xfId="2651"/>
    <cellStyle name="Normal 495" xfId="2643"/>
    <cellStyle name="Normal 496" xfId="2649"/>
    <cellStyle name="Normal 497" xfId="2642"/>
    <cellStyle name="Normal 498" xfId="2659"/>
    <cellStyle name="Normal 499" xfId="2636"/>
    <cellStyle name="Normal 5" xfId="49"/>
    <cellStyle name="Normal 5 2" xfId="1918"/>
    <cellStyle name="Normal 5 2 2" xfId="2432"/>
    <cellStyle name="Normal 5 2 3" xfId="2409"/>
    <cellStyle name="Normal 5 3" xfId="1919"/>
    <cellStyle name="Normal 5 4" xfId="1920"/>
    <cellStyle name="Normal 5 5" xfId="1921"/>
    <cellStyle name="Normal 50" xfId="1922"/>
    <cellStyle name="Normal 500" xfId="2658"/>
    <cellStyle name="Normal 501" xfId="2637"/>
    <cellStyle name="Normal 502" xfId="2657"/>
    <cellStyle name="Normal 503" xfId="2650"/>
    <cellStyle name="Normal 504" xfId="2656"/>
    <cellStyle name="Normal 505" xfId="2640"/>
    <cellStyle name="Normal 506" xfId="2661"/>
    <cellStyle name="Normal 507" xfId="2655"/>
    <cellStyle name="Normal 508" xfId="2660"/>
    <cellStyle name="Normal 509" xfId="2654"/>
    <cellStyle name="Normal 51" xfId="1923"/>
    <cellStyle name="Normal 510" xfId="2662"/>
    <cellStyle name="Normal 511" xfId="2641"/>
    <cellStyle name="Normal 512" xfId="2639"/>
    <cellStyle name="Normal 513" xfId="2785"/>
    <cellStyle name="Normal 514" xfId="2767"/>
    <cellStyle name="Normal 514 2" xfId="2790"/>
    <cellStyle name="Normal 515" xfId="2789"/>
    <cellStyle name="Normal 516" xfId="2788"/>
    <cellStyle name="Normal 517" xfId="2787"/>
    <cellStyle name="Normal 518" xfId="2792"/>
    <cellStyle name="Normal 519" xfId="4960"/>
    <cellStyle name="Normal 52" xfId="1924"/>
    <cellStyle name="Normal 520" xfId="6172"/>
    <cellStyle name="Normal 521" xfId="6174"/>
    <cellStyle name="Normal 521 2" xfId="7008"/>
    <cellStyle name="Normal 53" xfId="1925"/>
    <cellStyle name="Normal 54" xfId="1926"/>
    <cellStyle name="Normal 55" xfId="1927"/>
    <cellStyle name="Normal 56" xfId="1928"/>
    <cellStyle name="Normal 57" xfId="1929"/>
    <cellStyle name="Normal 58" xfId="1930"/>
    <cellStyle name="Normal 59" xfId="1931"/>
    <cellStyle name="Normal 6" xfId="50"/>
    <cellStyle name="Normal 6 10" xfId="4961"/>
    <cellStyle name="Normal 6 11" xfId="4962"/>
    <cellStyle name="Normal 6 12" xfId="4963"/>
    <cellStyle name="Normal 6 13" xfId="4964"/>
    <cellStyle name="Normal 6 14" xfId="4965"/>
    <cellStyle name="Normal 6 15" xfId="4966"/>
    <cellStyle name="Normal 6 16" xfId="4967"/>
    <cellStyle name="Normal 6 2" xfId="51"/>
    <cellStyle name="Normal 6 2 2" xfId="1933"/>
    <cellStyle name="Normal 6 2 2 2" xfId="2295"/>
    <cellStyle name="Normal 6 2 2 3" xfId="2417"/>
    <cellStyle name="Normal 6 2 2 3 2" xfId="2762"/>
    <cellStyle name="Normal 6 2 2 3 2 2" xfId="4968"/>
    <cellStyle name="Normal 6 2 2 3 3" xfId="2765"/>
    <cellStyle name="Normal 6 2 2 3 4" xfId="2786"/>
    <cellStyle name="Normal 6 2 2 4" xfId="2761"/>
    <cellStyle name="Normal 6 2 2 4 2" xfId="4969"/>
    <cellStyle name="Normal 6 2 3" xfId="1932"/>
    <cellStyle name="Normal 6 2 4" xfId="2418"/>
    <cellStyle name="Normal 6 2 5" xfId="2766"/>
    <cellStyle name="Normal 6 3" xfId="52"/>
    <cellStyle name="Normal 6 4" xfId="1934"/>
    <cellStyle name="Normal 6 4 2" xfId="2422"/>
    <cellStyle name="Normal 6 4 3" xfId="2377"/>
    <cellStyle name="Normal 6 5" xfId="1935"/>
    <cellStyle name="Normal 6 6" xfId="1936"/>
    <cellStyle name="Normal 6 7" xfId="4970"/>
    <cellStyle name="Normal 6 8" xfId="4971"/>
    <cellStyle name="Normal 6 9" xfId="4972"/>
    <cellStyle name="Normal 6_Long An thuy loi" xfId="1937"/>
    <cellStyle name="Normal 60" xfId="1938"/>
    <cellStyle name="Normal 61" xfId="1939"/>
    <cellStyle name="Normal 62" xfId="1940"/>
    <cellStyle name="Normal 63" xfId="1941"/>
    <cellStyle name="Normal 64" xfId="1942"/>
    <cellStyle name="Normal 65" xfId="1943"/>
    <cellStyle name="Normal 66" xfId="1944"/>
    <cellStyle name="Normal 67" xfId="1945"/>
    <cellStyle name="Normal 68" xfId="1946"/>
    <cellStyle name="Normal 69" xfId="1947"/>
    <cellStyle name="Normal 7" xfId="53"/>
    <cellStyle name="Normal 7 2" xfId="1948"/>
    <cellStyle name="Normal 7 2 2" xfId="2294"/>
    <cellStyle name="Normal 7 2 3" xfId="2412"/>
    <cellStyle name="Normal 7 3" xfId="1949"/>
    <cellStyle name="Normal 7 3 2" xfId="4973"/>
    <cellStyle name="Normal 7 3 3" xfId="4974"/>
    <cellStyle name="Normal 7 4" xfId="1950"/>
    <cellStyle name="Normal 7 5" xfId="1951"/>
    <cellStyle name="Normal 7_!1 1 bao cao giao KH ve HTCMT vung TNB   12-12-2011" xfId="4975"/>
    <cellStyle name="Normal 70" xfId="1952"/>
    <cellStyle name="Normal 71" xfId="1953"/>
    <cellStyle name="Normal 72" xfId="54"/>
    <cellStyle name="Normal 73" xfId="55"/>
    <cellStyle name="Normal 74" xfId="1954"/>
    <cellStyle name="Normal 75" xfId="1955"/>
    <cellStyle name="Normal 76" xfId="1956"/>
    <cellStyle name="Normal 77" xfId="1957"/>
    <cellStyle name="Normal 78" xfId="1958"/>
    <cellStyle name="Normal 79" xfId="1959"/>
    <cellStyle name="Normal 8" xfId="56"/>
    <cellStyle name="Normal 8 2" xfId="4976"/>
    <cellStyle name="Normal 8 2 2" xfId="4977"/>
    <cellStyle name="Normal 8 2 2 2" xfId="4978"/>
    <cellStyle name="Normal 8 2 3" xfId="4979"/>
    <cellStyle name="Normal 8 2_Phuongangiao 1-giaoxulykythuat" xfId="4980"/>
    <cellStyle name="Normal 8 3" xfId="4981"/>
    <cellStyle name="Normal 8_KH KH2014-TPCP (11-12-2013)-3 ( lay theo DH TPCP 2012-2015 da trinh)" xfId="4982"/>
    <cellStyle name="Normal 80" xfId="1960"/>
    <cellStyle name="Normal 81" xfId="1961"/>
    <cellStyle name="Normal 82" xfId="1962"/>
    <cellStyle name="Normal 83" xfId="1963"/>
    <cellStyle name="Normal 84" xfId="1964"/>
    <cellStyle name="Normal 85" xfId="1965"/>
    <cellStyle name="Normal 86" xfId="1966"/>
    <cellStyle name="Normal 87" xfId="1967"/>
    <cellStyle name="Normal 88" xfId="1968"/>
    <cellStyle name="Normal 89" xfId="1969"/>
    <cellStyle name="Normal 9" xfId="57"/>
    <cellStyle name="Normal 9 10" xfId="4983"/>
    <cellStyle name="Normal 9 12" xfId="4984"/>
    <cellStyle name="Normal 9 13" xfId="4985"/>
    <cellStyle name="Normal 9 17" xfId="4986"/>
    <cellStyle name="Normal 9 2" xfId="58"/>
    <cellStyle name="Normal 9 21" xfId="4987"/>
    <cellStyle name="Normal 9 23" xfId="4988"/>
    <cellStyle name="Normal 9 3" xfId="1970"/>
    <cellStyle name="Normal 9 4" xfId="1971"/>
    <cellStyle name="Normal 9 46" xfId="4989"/>
    <cellStyle name="Normal 9 47" xfId="4990"/>
    <cellStyle name="Normal 9 48" xfId="4991"/>
    <cellStyle name="Normal 9 49" xfId="4992"/>
    <cellStyle name="Normal 9 5" xfId="1972"/>
    <cellStyle name="Normal 9 50" xfId="4993"/>
    <cellStyle name="Normal 9 51" xfId="4994"/>
    <cellStyle name="Normal 9 52" xfId="4995"/>
    <cellStyle name="Normal 9_Bieu KH trung han BKH TW" xfId="4996"/>
    <cellStyle name="Normal 90" xfId="1973"/>
    <cellStyle name="Normal 91" xfId="1974"/>
    <cellStyle name="Normal 92" xfId="1975"/>
    <cellStyle name="Normal 93" xfId="1976"/>
    <cellStyle name="Normal 94" xfId="1977"/>
    <cellStyle name="Normal 95" xfId="1978"/>
    <cellStyle name="Normal 96" xfId="1979"/>
    <cellStyle name="Normal 97" xfId="1980"/>
    <cellStyle name="Normal 98" xfId="1981"/>
    <cellStyle name="Normal 99" xfId="1982"/>
    <cellStyle name="Normal_Bang TH cac nguon von du kien 2016 - 2020(lanh)" xfId="4"/>
    <cellStyle name="Normal_Bieu mau (CV )" xfId="3"/>
    <cellStyle name="Normal_Bieu mau (CV ) 2" xfId="9"/>
    <cellStyle name="Normal_Bieu XDCB Phat trien KT-XH nam 2011" xfId="68"/>
    <cellStyle name="Normal_Sheet1" xfId="2793"/>
    <cellStyle name="Normal_VON DAU TU TUAN 1-9" xfId="6"/>
    <cellStyle name="Normal1" xfId="1983"/>
    <cellStyle name="Normal1 2" xfId="1984"/>
    <cellStyle name="Normal1 3" xfId="1985"/>
    <cellStyle name="Normal1 4" xfId="1986"/>
    <cellStyle name="Normal8" xfId="1987"/>
    <cellStyle name="Normal8 2" xfId="1988"/>
    <cellStyle name="Normale_ PESO ELETTR." xfId="1989"/>
    <cellStyle name="Normalny_Cennik obowiazuje od 06-08-2001 r (1)" xfId="1990"/>
    <cellStyle name="Note 2" xfId="1991"/>
    <cellStyle name="Note 2 2" xfId="2427"/>
    <cellStyle name="Note 2 3" xfId="2384"/>
    <cellStyle name="Note 3" xfId="1992"/>
    <cellStyle name="Note 3 2" xfId="4997"/>
    <cellStyle name="Note 4" xfId="1993"/>
    <cellStyle name="Note 4 2" xfId="4998"/>
    <cellStyle name="Note 5" xfId="4999"/>
    <cellStyle name="NWM" xfId="5000"/>
    <cellStyle name="Ò_x000a_Normal_123569" xfId="5001"/>
    <cellStyle name="Ò_x000d_Normal_123569" xfId="1996"/>
    <cellStyle name="Ò_x005f_x000d_Normal_123569" xfId="5002"/>
    <cellStyle name="Ò_x005f_x005f_x005f_x000d_Normal_123569" xfId="5003"/>
    <cellStyle name="Œ…‹æØ‚è [0.00]_ÆÂ¹²" xfId="5004"/>
    <cellStyle name="Œ…‹æØ‚è_laroux" xfId="1997"/>
    <cellStyle name="oft Excel]_x000a__x000a_Comment=open=/f ‚ðw’è‚·‚é‚ÆAƒ†[ƒU[’è‹`ŠÖ”‚ðŠÖ”“\‚è•t‚¯‚Ìˆê——‚É“o˜^‚·‚é‚±‚Æ‚ª‚Å‚«‚Ü‚·B_x000a__x000a_Maximized" xfId="5005"/>
    <cellStyle name="oft Excel]_x000a__x000a_Comment=open=/f ‚ðŽw’è‚·‚é‚ÆAƒ†[ƒU[’è‹`ŠÖ”‚ðŠÖ”“\‚è•t‚¯‚Ìˆê——‚É“o˜^‚·‚é‚±‚Æ‚ª‚Å‚«‚Ü‚·B_x000a__x000a_Maximized" xfId="5006"/>
    <cellStyle name="oft Excel]_x000a__x000a_Comment=The open=/f lines load custom functions into the Paste Function list._x000a__x000a_Maximized=2_x000a__x000a_Basics=1_x000a__x000a_A" xfId="5007"/>
    <cellStyle name="oft Excel]_x000a__x000a_Comment=The open=/f lines load custom functions into the Paste Function list._x000a__x000a_Maximized=3_x000a__x000a_Basics=1_x000a__x000a_A" xfId="5008"/>
    <cellStyle name="oft Excel]_x000d__x000a_Comment=open=/f ‚ðw’è‚·‚é‚ÆAƒ†[ƒU[’è‹`ŠÖ”‚ðŠÖ”“\‚è•t‚¯‚Ìˆê——‚É“o˜^‚·‚é‚±‚Æ‚ª‚Å‚«‚Ü‚·B_x000d__x000a_Maximized" xfId="1998"/>
    <cellStyle name="oft Excel]_x000d__x000a_Comment=open=/f ‚ðŽw’è‚·‚é‚ÆAƒ†[ƒU[’è‹`ŠÖ”‚ðŠÖ”“\‚è•t‚¯‚Ìˆê——‚É“o˜^‚·‚é‚±‚Æ‚ª‚Å‚«‚Ü‚·B_x000d__x000a_Maximized" xfId="1999"/>
    <cellStyle name="oft Excel]_x000d__x000a_Comment=open=/f ‚ðŽw’è‚·‚é‚ÆAƒ†[ƒU[’è‹`ŠÖ”‚ðŠÖ”“\‚è•t‚¯‚Ìˆê——‚É“o˜^‚·‚é‚±‚Æ‚ª‚Å‚«‚Ü‚·B_x000d__x000a_Maximized 2" xfId="2000"/>
    <cellStyle name="oft Excel]_x000d__x000a_Comment=The open=/f lines load custom functions into the Paste Function list._x000d__x000a_Maximized=2_x000d__x000a_Basics=1_x000d__x000a_A" xfId="2001"/>
    <cellStyle name="oft Excel]_x000d__x000a_Comment=The open=/f lines load custom functions into the Paste Function list._x000d__x000a_Maximized=2_x000d__x000a_Basics=1_x000d__x000a_A 2" xfId="2002"/>
    <cellStyle name="oft Excel]_x000d__x000a_Comment=The open=/f lines load custom functions into the Paste Function list._x000d__x000a_Maximized=2_x000d__x000a_Basics=1_x000d__x000a_A 3" xfId="2003"/>
    <cellStyle name="oft Excel]_x000d__x000a_Comment=The open=/f lines load custom functions into the Paste Function list._x000d__x000a_Maximized=2_x000d__x000a_Basics=1_x000d__x000a_A 4" xfId="2004"/>
    <cellStyle name="oft Excel]_x000d__x000a_Comment=The open=/f lines load custom functions into the Paste Function list._x000d__x000a_Maximized=3_x000d__x000a_Basics=1_x000d__x000a_A" xfId="2005"/>
    <cellStyle name="oft Excel]_x000d__x000a_Comment=The open=/f lines load custom functions into the Paste Function list._x000d__x000a_Maximized=3_x000d__x000a_Basics=1_x000d__x000a_A 2" xfId="2006"/>
    <cellStyle name="oft Excel]_x000d__x000a_Comment=The open=/f lines load custom functions into the Paste Function list._x000d__x000a_Maximized=3_x000d__x000a_Basics=1_x000d__x000a_A 3" xfId="2007"/>
    <cellStyle name="oft Excel]_x005f_x000d__x005f_x000a_Comment=open=/f ‚ðw’è‚·‚é‚ÆAƒ†[ƒU[’è‹`ŠÖ”‚ðŠÖ”“\‚è•t‚¯‚Ìˆê——‚É“o˜^‚·‚é‚±‚Æ‚ª‚Å‚«‚Ü‚·B_x005f_x000d__x005f_x000a_Maximized" xfId="5009"/>
    <cellStyle name="omma [0]_Mktg Prog" xfId="2008"/>
    <cellStyle name="ormal_Sheet1_1" xfId="2009"/>
    <cellStyle name="Output 2" xfId="2010"/>
    <cellStyle name="Output 2 2" xfId="2293"/>
    <cellStyle name="Output 2 3" xfId="2411"/>
    <cellStyle name="Output 3" xfId="2011"/>
    <cellStyle name="Output 4" xfId="2012"/>
    <cellStyle name="p" xfId="5010"/>
    <cellStyle name="paint" xfId="5011"/>
    <cellStyle name="paint 2" xfId="5012"/>
    <cellStyle name="paint_05-12  KH trung han 2016-2020 - Liem Thinh edited" xfId="5013"/>
    <cellStyle name="Pattern" xfId="2013"/>
    <cellStyle name="Pattern 10" xfId="5014"/>
    <cellStyle name="Pattern 11" xfId="5015"/>
    <cellStyle name="Pattern 12" xfId="5016"/>
    <cellStyle name="Pattern 13" xfId="5017"/>
    <cellStyle name="Pattern 14" xfId="5018"/>
    <cellStyle name="Pattern 15" xfId="5019"/>
    <cellStyle name="Pattern 16" xfId="5020"/>
    <cellStyle name="Pattern 2" xfId="2014"/>
    <cellStyle name="Pattern 3" xfId="5021"/>
    <cellStyle name="Pattern 4" xfId="5022"/>
    <cellStyle name="Pattern 5" xfId="5023"/>
    <cellStyle name="Pattern 6" xfId="5024"/>
    <cellStyle name="Pattern 7" xfId="5025"/>
    <cellStyle name="Pattern 8" xfId="5026"/>
    <cellStyle name="Pattern 9" xfId="5027"/>
    <cellStyle name="per.style" xfId="2015"/>
    <cellStyle name="per.style 2" xfId="5028"/>
    <cellStyle name="Percent %" xfId="5029"/>
    <cellStyle name="Percent % Long Underline" xfId="5030"/>
    <cellStyle name="Percent %_Worksheet in  US Financial Statements Ref. Workbook - Single Co" xfId="5031"/>
    <cellStyle name="Percent (0)" xfId="5032"/>
    <cellStyle name="Percent (0) 10" xfId="5033"/>
    <cellStyle name="Percent (0) 11" xfId="5034"/>
    <cellStyle name="Percent (0) 12" xfId="5035"/>
    <cellStyle name="Percent (0) 13" xfId="5036"/>
    <cellStyle name="Percent (0) 14" xfId="5037"/>
    <cellStyle name="Percent (0) 15" xfId="5038"/>
    <cellStyle name="Percent (0) 2" xfId="5039"/>
    <cellStyle name="Percent (0) 3" xfId="5040"/>
    <cellStyle name="Percent (0) 4" xfId="5041"/>
    <cellStyle name="Percent (0) 5" xfId="5042"/>
    <cellStyle name="Percent (0) 6" xfId="5043"/>
    <cellStyle name="Percent (0) 7" xfId="5044"/>
    <cellStyle name="Percent (0) 8" xfId="5045"/>
    <cellStyle name="Percent (0) 9" xfId="5046"/>
    <cellStyle name="Percent [0]" xfId="2016"/>
    <cellStyle name="Percent [0] 10" xfId="5047"/>
    <cellStyle name="Percent [0] 11" xfId="5048"/>
    <cellStyle name="Percent [0] 12" xfId="5049"/>
    <cellStyle name="Percent [0] 13" xfId="5050"/>
    <cellStyle name="Percent [0] 14" xfId="5051"/>
    <cellStyle name="Percent [0] 15" xfId="5052"/>
    <cellStyle name="Percent [0] 16" xfId="5053"/>
    <cellStyle name="Percent [0] 2" xfId="2017"/>
    <cellStyle name="Percent [0] 3" xfId="5054"/>
    <cellStyle name="Percent [0] 4" xfId="5055"/>
    <cellStyle name="Percent [0] 5" xfId="5056"/>
    <cellStyle name="Percent [0] 6" xfId="5057"/>
    <cellStyle name="Percent [0] 7" xfId="5058"/>
    <cellStyle name="Percent [0] 8" xfId="5059"/>
    <cellStyle name="Percent [0] 9" xfId="5060"/>
    <cellStyle name="Percent [00]" xfId="2018"/>
    <cellStyle name="Percent [00] 10" xfId="5061"/>
    <cellStyle name="Percent [00] 11" xfId="5062"/>
    <cellStyle name="Percent [00] 12" xfId="5063"/>
    <cellStyle name="Percent [00] 13" xfId="5064"/>
    <cellStyle name="Percent [00] 14" xfId="5065"/>
    <cellStyle name="Percent [00] 15" xfId="5066"/>
    <cellStyle name="Percent [00] 16" xfId="5067"/>
    <cellStyle name="Percent [00] 2" xfId="2019"/>
    <cellStyle name="Percent [00] 3" xfId="5068"/>
    <cellStyle name="Percent [00] 4" xfId="5069"/>
    <cellStyle name="Percent [00] 5" xfId="5070"/>
    <cellStyle name="Percent [00] 6" xfId="5071"/>
    <cellStyle name="Percent [00] 7" xfId="5072"/>
    <cellStyle name="Percent [00] 8" xfId="5073"/>
    <cellStyle name="Percent [00] 9" xfId="5074"/>
    <cellStyle name="Percent [2]" xfId="2020"/>
    <cellStyle name="Percent [2] 10" xfId="5075"/>
    <cellStyle name="Percent [2] 11" xfId="5076"/>
    <cellStyle name="Percent [2] 12" xfId="5077"/>
    <cellStyle name="Percent [2] 13" xfId="5078"/>
    <cellStyle name="Percent [2] 14" xfId="5079"/>
    <cellStyle name="Percent [2] 15" xfId="5080"/>
    <cellStyle name="Percent [2] 16" xfId="5081"/>
    <cellStyle name="Percent [2] 2" xfId="2021"/>
    <cellStyle name="Percent [2] 2 2" xfId="5082"/>
    <cellStyle name="Percent [2] 3" xfId="5083"/>
    <cellStyle name="Percent [2] 4" xfId="5084"/>
    <cellStyle name="Percent [2] 5" xfId="5085"/>
    <cellStyle name="Percent [2] 6" xfId="5086"/>
    <cellStyle name="Percent [2] 7" xfId="5087"/>
    <cellStyle name="Percent [2] 8" xfId="5088"/>
    <cellStyle name="Percent [2] 9" xfId="5089"/>
    <cellStyle name="Percent 0.0%" xfId="5090"/>
    <cellStyle name="Percent 0.0% Long Underline" xfId="5091"/>
    <cellStyle name="Percent 0.00%" xfId="5092"/>
    <cellStyle name="Percent 0.00% Long Underline" xfId="5093"/>
    <cellStyle name="Percent 0.000%" xfId="5094"/>
    <cellStyle name="Percent 0.000% Long Underline" xfId="5095"/>
    <cellStyle name="Percent 10" xfId="2275"/>
    <cellStyle name="Percent 10 2" xfId="5096"/>
    <cellStyle name="Percent 100" xfId="2784"/>
    <cellStyle name="Percent 101" xfId="2791"/>
    <cellStyle name="Percent 102" xfId="5097"/>
    <cellStyle name="Percent 11" xfId="2366"/>
    <cellStyle name="Percent 11 2" xfId="5098"/>
    <cellStyle name="Percent 12" xfId="2469"/>
    <cellStyle name="Percent 12 2" xfId="5099"/>
    <cellStyle name="Percent 13" xfId="2443"/>
    <cellStyle name="Percent 13 2" xfId="5100"/>
    <cellStyle name="Percent 14" xfId="2467"/>
    <cellStyle name="Percent 14 2" xfId="5101"/>
    <cellStyle name="Percent 15" xfId="2445"/>
    <cellStyle name="Percent 16" xfId="2466"/>
    <cellStyle name="Percent 17" xfId="2447"/>
    <cellStyle name="Percent 18" xfId="2464"/>
    <cellStyle name="Percent 19" xfId="2454"/>
    <cellStyle name="Percent 19 2" xfId="5102"/>
    <cellStyle name="Percent 2" xfId="59"/>
    <cellStyle name="Percent 2 2" xfId="5103"/>
    <cellStyle name="Percent 2 2 2" xfId="5104"/>
    <cellStyle name="Percent 2 2 3" xfId="5105"/>
    <cellStyle name="Percent 2 3" xfId="5106"/>
    <cellStyle name="Percent 2 4" xfId="5107"/>
    <cellStyle name="Percent 20" xfId="2457"/>
    <cellStyle name="Percent 20 2" xfId="5108"/>
    <cellStyle name="Percent 21" xfId="2455"/>
    <cellStyle name="Percent 22" xfId="2458"/>
    <cellStyle name="Percent 23" xfId="2460"/>
    <cellStyle name="Percent 24" xfId="2462"/>
    <cellStyle name="Percent 25" xfId="2471"/>
    <cellStyle name="Percent 26" xfId="2449"/>
    <cellStyle name="Percent 27" xfId="2453"/>
    <cellStyle name="Percent 28" xfId="2477"/>
    <cellStyle name="Percent 29" xfId="2451"/>
    <cellStyle name="Percent 3" xfId="73"/>
    <cellStyle name="Percent 3 2" xfId="5109"/>
    <cellStyle name="Percent 3 3" xfId="5110"/>
    <cellStyle name="Percent 30" xfId="2478"/>
    <cellStyle name="Percent 31" xfId="2481"/>
    <cellStyle name="Percent 32" xfId="2475"/>
    <cellStyle name="Percent 33" xfId="2482"/>
    <cellStyle name="Percent 34" xfId="2484"/>
    <cellStyle name="Percent 35" xfId="2486"/>
    <cellStyle name="Percent 36" xfId="2488"/>
    <cellStyle name="Percent 37" xfId="2490"/>
    <cellStyle name="Percent 38" xfId="2492"/>
    <cellStyle name="Percent 39" xfId="2494"/>
    <cellStyle name="Percent 4" xfId="2022"/>
    <cellStyle name="Percent 4 2" xfId="5111"/>
    <cellStyle name="Percent 40" xfId="2496"/>
    <cellStyle name="Percent 41" xfId="2498"/>
    <cellStyle name="Percent 42" xfId="2500"/>
    <cellStyle name="Percent 43" xfId="2502"/>
    <cellStyle name="Percent 44" xfId="2504"/>
    <cellStyle name="Percent 45" xfId="2506"/>
    <cellStyle name="Percent 46" xfId="2510"/>
    <cellStyle name="Percent 47" xfId="2513"/>
    <cellStyle name="Percent 48" xfId="2511"/>
    <cellStyle name="Percent 49" xfId="2514"/>
    <cellStyle name="Percent 5" xfId="2023"/>
    <cellStyle name="Percent 5 2" xfId="5112"/>
    <cellStyle name="Percent 50" xfId="2516"/>
    <cellStyle name="Percent 51" xfId="2519"/>
    <cellStyle name="Percent 52" xfId="2523"/>
    <cellStyle name="Percent 53" xfId="2526"/>
    <cellStyle name="Percent 54" xfId="2524"/>
    <cellStyle name="Percent 55" xfId="2527"/>
    <cellStyle name="Percent 56" xfId="2530"/>
    <cellStyle name="Percent 57" xfId="2522"/>
    <cellStyle name="Percent 58" xfId="2531"/>
    <cellStyle name="Percent 59" xfId="2533"/>
    <cellStyle name="Percent 6" xfId="2024"/>
    <cellStyle name="Percent 6 2" xfId="5113"/>
    <cellStyle name="Percent 60" xfId="2535"/>
    <cellStyle name="Percent 61" xfId="2537"/>
    <cellStyle name="Percent 62" xfId="2539"/>
    <cellStyle name="Percent 63" xfId="2541"/>
    <cellStyle name="Percent 64" xfId="2543"/>
    <cellStyle name="Percent 65" xfId="2545"/>
    <cellStyle name="Percent 66" xfId="2547"/>
    <cellStyle name="Percent 67" xfId="2549"/>
    <cellStyle name="Percent 68" xfId="2551"/>
    <cellStyle name="Percent 69" xfId="2553"/>
    <cellStyle name="Percent 7" xfId="2025"/>
    <cellStyle name="Percent 7 2" xfId="5114"/>
    <cellStyle name="Percent 70" xfId="2555"/>
    <cellStyle name="Percent 71" xfId="2557"/>
    <cellStyle name="Percent 72" xfId="2564"/>
    <cellStyle name="Percent 73" xfId="2567"/>
    <cellStyle name="Percent 74" xfId="2565"/>
    <cellStyle name="Percent 75" xfId="2568"/>
    <cellStyle name="Percent 76" xfId="2571"/>
    <cellStyle name="Percent 77" xfId="2562"/>
    <cellStyle name="Percent 78" xfId="2563"/>
    <cellStyle name="Percent 79" xfId="2573"/>
    <cellStyle name="Percent 8" xfId="2026"/>
    <cellStyle name="Percent 8 2" xfId="2434"/>
    <cellStyle name="Percent 8 3" xfId="2697"/>
    <cellStyle name="Percent 8 3 2" xfId="2763"/>
    <cellStyle name="Percent 80" xfId="2576"/>
    <cellStyle name="Percent 81" xfId="2574"/>
    <cellStyle name="Percent 82" xfId="2577"/>
    <cellStyle name="Percent 83" xfId="2580"/>
    <cellStyle name="Percent 84" xfId="2768"/>
    <cellStyle name="Percent 85" xfId="2775"/>
    <cellStyle name="Percent 86" xfId="2770"/>
    <cellStyle name="Percent 87" xfId="2769"/>
    <cellStyle name="Percent 88" xfId="2774"/>
    <cellStyle name="Percent 89" xfId="2771"/>
    <cellStyle name="Percent 9" xfId="2027"/>
    <cellStyle name="Percent 9 2" xfId="2359"/>
    <cellStyle name="Percent 9 3" xfId="2698"/>
    <cellStyle name="Percent 9 3 2" xfId="2764"/>
    <cellStyle name="Percent 90" xfId="2777"/>
    <cellStyle name="Percent 91" xfId="2776"/>
    <cellStyle name="Percent 92" xfId="2778"/>
    <cellStyle name="Percent 93" xfId="2772"/>
    <cellStyle name="Percent 94" xfId="2773"/>
    <cellStyle name="Percent 95" xfId="2779"/>
    <cellStyle name="Percent 96" xfId="2781"/>
    <cellStyle name="Percent 97" xfId="2780"/>
    <cellStyle name="Percent 98" xfId="2782"/>
    <cellStyle name="Percent 99" xfId="2783"/>
    <cellStyle name="PERCENTAGE" xfId="2028"/>
    <cellStyle name="PERCENTAGE 2" xfId="2029"/>
    <cellStyle name="PrePop Currency (0)" xfId="2030"/>
    <cellStyle name="PrePop Currency (0) 10" xfId="5115"/>
    <cellStyle name="PrePop Currency (0) 11" xfId="5116"/>
    <cellStyle name="PrePop Currency (0) 12" xfId="5117"/>
    <cellStyle name="PrePop Currency (0) 13" xfId="5118"/>
    <cellStyle name="PrePop Currency (0) 14" xfId="5119"/>
    <cellStyle name="PrePop Currency (0) 15" xfId="5120"/>
    <cellStyle name="PrePop Currency (0) 16" xfId="5121"/>
    <cellStyle name="PrePop Currency (0) 2" xfId="2031"/>
    <cellStyle name="PrePop Currency (0) 3" xfId="5122"/>
    <cellStyle name="PrePop Currency (0) 4" xfId="5123"/>
    <cellStyle name="PrePop Currency (0) 5" xfId="5124"/>
    <cellStyle name="PrePop Currency (0) 6" xfId="5125"/>
    <cellStyle name="PrePop Currency (0) 7" xfId="5126"/>
    <cellStyle name="PrePop Currency (0) 8" xfId="5127"/>
    <cellStyle name="PrePop Currency (0) 9" xfId="5128"/>
    <cellStyle name="PrePop Currency (2)" xfId="2032"/>
    <cellStyle name="PrePop Currency (2) 10" xfId="5129"/>
    <cellStyle name="PrePop Currency (2) 11" xfId="5130"/>
    <cellStyle name="PrePop Currency (2) 12" xfId="5131"/>
    <cellStyle name="PrePop Currency (2) 13" xfId="5132"/>
    <cellStyle name="PrePop Currency (2) 14" xfId="5133"/>
    <cellStyle name="PrePop Currency (2) 15" xfId="5134"/>
    <cellStyle name="PrePop Currency (2) 16" xfId="5135"/>
    <cellStyle name="PrePop Currency (2) 2" xfId="2033"/>
    <cellStyle name="PrePop Currency (2) 3" xfId="5136"/>
    <cellStyle name="PrePop Currency (2) 4" xfId="5137"/>
    <cellStyle name="PrePop Currency (2) 5" xfId="5138"/>
    <cellStyle name="PrePop Currency (2) 6" xfId="5139"/>
    <cellStyle name="PrePop Currency (2) 7" xfId="5140"/>
    <cellStyle name="PrePop Currency (2) 8" xfId="5141"/>
    <cellStyle name="PrePop Currency (2) 9" xfId="5142"/>
    <cellStyle name="PrePop Units (0)" xfId="2034"/>
    <cellStyle name="PrePop Units (0) 10" xfId="5143"/>
    <cellStyle name="PrePop Units (0) 11" xfId="5144"/>
    <cellStyle name="PrePop Units (0) 12" xfId="5145"/>
    <cellStyle name="PrePop Units (0) 13" xfId="5146"/>
    <cellStyle name="PrePop Units (0) 14" xfId="5147"/>
    <cellStyle name="PrePop Units (0) 15" xfId="5148"/>
    <cellStyle name="PrePop Units (0) 16" xfId="5149"/>
    <cellStyle name="PrePop Units (0) 2" xfId="2035"/>
    <cellStyle name="PrePop Units (0) 3" xfId="5150"/>
    <cellStyle name="PrePop Units (0) 4" xfId="5151"/>
    <cellStyle name="PrePop Units (0) 5" xfId="5152"/>
    <cellStyle name="PrePop Units (0) 6" xfId="5153"/>
    <cellStyle name="PrePop Units (0) 7" xfId="5154"/>
    <cellStyle name="PrePop Units (0) 8" xfId="5155"/>
    <cellStyle name="PrePop Units (0) 9" xfId="5156"/>
    <cellStyle name="PrePop Units (1)" xfId="2036"/>
    <cellStyle name="PrePop Units (1) 10" xfId="5157"/>
    <cellStyle name="PrePop Units (1) 11" xfId="5158"/>
    <cellStyle name="PrePop Units (1) 12" xfId="5159"/>
    <cellStyle name="PrePop Units (1) 13" xfId="5160"/>
    <cellStyle name="PrePop Units (1) 14" xfId="5161"/>
    <cellStyle name="PrePop Units (1) 15" xfId="5162"/>
    <cellStyle name="PrePop Units (1) 16" xfId="5163"/>
    <cellStyle name="PrePop Units (1) 2" xfId="2037"/>
    <cellStyle name="PrePop Units (1) 3" xfId="5164"/>
    <cellStyle name="PrePop Units (1) 4" xfId="5165"/>
    <cellStyle name="PrePop Units (1) 5" xfId="5166"/>
    <cellStyle name="PrePop Units (1) 6" xfId="5167"/>
    <cellStyle name="PrePop Units (1) 7" xfId="5168"/>
    <cellStyle name="PrePop Units (1) 8" xfId="5169"/>
    <cellStyle name="PrePop Units (1) 9" xfId="5170"/>
    <cellStyle name="PrePop Units (2)" xfId="2038"/>
    <cellStyle name="PrePop Units (2) 10" xfId="5171"/>
    <cellStyle name="PrePop Units (2) 11" xfId="5172"/>
    <cellStyle name="PrePop Units (2) 12" xfId="5173"/>
    <cellStyle name="PrePop Units (2) 13" xfId="5174"/>
    <cellStyle name="PrePop Units (2) 14" xfId="5175"/>
    <cellStyle name="PrePop Units (2) 15" xfId="5176"/>
    <cellStyle name="PrePop Units (2) 16" xfId="5177"/>
    <cellStyle name="PrePop Units (2) 2" xfId="2039"/>
    <cellStyle name="PrePop Units (2) 3" xfId="5178"/>
    <cellStyle name="PrePop Units (2) 4" xfId="5179"/>
    <cellStyle name="PrePop Units (2) 5" xfId="5180"/>
    <cellStyle name="PrePop Units (2) 6" xfId="5181"/>
    <cellStyle name="PrePop Units (2) 7" xfId="5182"/>
    <cellStyle name="PrePop Units (2) 8" xfId="5183"/>
    <cellStyle name="PrePop Units (2) 9" xfId="5184"/>
    <cellStyle name="pricing" xfId="2040"/>
    <cellStyle name="pricing 2" xfId="2041"/>
    <cellStyle name="PSChar" xfId="2042"/>
    <cellStyle name="PSChar 2" xfId="2043"/>
    <cellStyle name="PSHeading" xfId="2044"/>
    <cellStyle name="PSHeading 2" xfId="2045"/>
    <cellStyle name="Quantity" xfId="5185"/>
    <cellStyle name="regstoresfromspecstores" xfId="2046"/>
    <cellStyle name="regstoresfromspecstores 2" xfId="2047"/>
    <cellStyle name="RevList" xfId="2048"/>
    <cellStyle name="RevList 2" xfId="2049"/>
    <cellStyle name="rlink_tiªn l­în_x005f_x001b_Hyperlink_TONG HOP KINH PHI" xfId="5186"/>
    <cellStyle name="rmal_ADAdot" xfId="2050"/>
    <cellStyle name="S—_x0008_" xfId="2051"/>
    <cellStyle name="S—_x0008_ 2" xfId="5187"/>
    <cellStyle name="s]_x000a__x000a_spooler=yes_x000a__x000a_load=_x000a__x000a_Beep=yes_x000a__x000a_NullPort=None_x000a__x000a_BorderWidth=3_x000a__x000a_CursorBlinkRate=1200_x000a__x000a_DoubleClickSpeed=452_x000a__x000a_Programs=co" xfId="5188"/>
    <cellStyle name="s]_x000d__x000a_spooler=yes_x000d__x000a_load=_x000d__x000a_Beep=yes_x000d__x000a_NullPort=None_x000d__x000a_BorderWidth=3_x000d__x000a_CursorBlinkRate=1200_x000d__x000a_DoubleClickSpeed=452_x000d__x000a_Programs=co" xfId="2052"/>
    <cellStyle name="s]_x000d__x000a_spooler=yes_x000d__x000a_load=_x000d__x000a_Beep=yes_x000d__x000a_NullPort=None_x000d__x000a_BorderWidth=3_x000d__x000a_CursorBlinkRate=1200_x000d__x000a_DoubleClickSpeed=452_x000d__x000a_Programs=co 2" xfId="2053"/>
    <cellStyle name="s]_x000d__x000a_spooler=yes_x000d__x000a_load=_x000d__x000a_Beep=yes_x000d__x000a_NullPort=None_x000d__x000a_BorderWidth=3_x000d__x000a_CursorBlinkRate=1200_x000d__x000a_DoubleClickSpeed=452_x000d__x000a_Programs=co 3" xfId="2054"/>
    <cellStyle name="s]_x005f_x000d__x005f_x000a_spooler=yes_x005f_x000d__x005f_x000a_load=_x005f_x000d__x005f_x000a_Beep=yes_x005f_x000d__x005f_x000a_NullPort=None_x005f_x000d__x005f_x000a_BorderWidth=3_x005f_x000d__x005f_x000a_CursorBlinkRate=1200_x005f_x000d__x005f_x000a_DoubleClickSpeed=452_x005f_x000d__x005f_x000a_Programs=co" xfId="5189"/>
    <cellStyle name="S—_x0008__KH TPCP vung TNB (03-1-2012)" xfId="5190"/>
    <cellStyle name="S—_x005f_x0008_" xfId="5191"/>
    <cellStyle name="SAPBEXaggData" xfId="2055"/>
    <cellStyle name="SAPBEXaggData 2" xfId="5192"/>
    <cellStyle name="SAPBEXaggDataEmph" xfId="2056"/>
    <cellStyle name="SAPBEXaggDataEmph 2" xfId="2057"/>
    <cellStyle name="SAPBEXaggItem" xfId="2058"/>
    <cellStyle name="SAPBEXaggItem 2" xfId="5193"/>
    <cellStyle name="SAPBEXchaText" xfId="2059"/>
    <cellStyle name="SAPBEXchaText 2" xfId="5194"/>
    <cellStyle name="SAPBEXexcBad7" xfId="2060"/>
    <cellStyle name="SAPBEXexcBad7 2" xfId="5195"/>
    <cellStyle name="SAPBEXexcBad8" xfId="2061"/>
    <cellStyle name="SAPBEXexcBad8 2" xfId="5196"/>
    <cellStyle name="SAPBEXexcBad9" xfId="2062"/>
    <cellStyle name="SAPBEXexcBad9 2" xfId="5197"/>
    <cellStyle name="SAPBEXexcCritical4" xfId="2063"/>
    <cellStyle name="SAPBEXexcCritical4 2" xfId="5198"/>
    <cellStyle name="SAPBEXexcCritical5" xfId="2064"/>
    <cellStyle name="SAPBEXexcCritical5 2" xfId="5199"/>
    <cellStyle name="SAPBEXexcCritical6" xfId="2065"/>
    <cellStyle name="SAPBEXexcCritical6 2" xfId="5200"/>
    <cellStyle name="SAPBEXexcGood1" xfId="2066"/>
    <cellStyle name="SAPBEXexcGood1 2" xfId="5201"/>
    <cellStyle name="SAPBEXexcGood2" xfId="2067"/>
    <cellStyle name="SAPBEXexcGood2 2" xfId="5202"/>
    <cellStyle name="SAPBEXexcGood3" xfId="2068"/>
    <cellStyle name="SAPBEXexcGood3 2" xfId="5203"/>
    <cellStyle name="SAPBEXfilterDrill" xfId="2069"/>
    <cellStyle name="SAPBEXfilterDrill 2" xfId="5204"/>
    <cellStyle name="SAPBEXfilterItem" xfId="2070"/>
    <cellStyle name="SAPBEXfilterItem 2" xfId="5205"/>
    <cellStyle name="SAPBEXfilterText" xfId="2071"/>
    <cellStyle name="SAPBEXfilterText 2" xfId="5206"/>
    <cellStyle name="SAPBEXformats" xfId="2072"/>
    <cellStyle name="SAPBEXformats 2" xfId="5207"/>
    <cellStyle name="SAPBEXheaderItem" xfId="2073"/>
    <cellStyle name="SAPBEXheaderItem 2" xfId="5208"/>
    <cellStyle name="SAPBEXheaderText" xfId="2074"/>
    <cellStyle name="SAPBEXheaderText 2" xfId="5209"/>
    <cellStyle name="SAPBEXresData" xfId="2075"/>
    <cellStyle name="SAPBEXresData 2" xfId="5210"/>
    <cellStyle name="SAPBEXresDataEmph" xfId="2076"/>
    <cellStyle name="SAPBEXresDataEmph 2" xfId="5211"/>
    <cellStyle name="SAPBEXresItem" xfId="2077"/>
    <cellStyle name="SAPBEXresItem 2" xfId="5212"/>
    <cellStyle name="SAPBEXstdData" xfId="2078"/>
    <cellStyle name="SAPBEXstdData 2" xfId="5213"/>
    <cellStyle name="SAPBEXstdDataEmph" xfId="2079"/>
    <cellStyle name="SAPBEXstdDataEmph 2" xfId="5214"/>
    <cellStyle name="SAPBEXstdItem" xfId="2080"/>
    <cellStyle name="SAPBEXstdItem 2" xfId="5215"/>
    <cellStyle name="SAPBEXtitle" xfId="2081"/>
    <cellStyle name="SAPBEXtitle 2" xfId="2082"/>
    <cellStyle name="SAPBEXundefined" xfId="2083"/>
    <cellStyle name="SAPBEXundefined 2" xfId="5216"/>
    <cellStyle name="serJet 1200 Series PCL 6" xfId="2084"/>
    <cellStyle name="serJet 1200 Series PCL 6 2" xfId="2085"/>
    <cellStyle name="SHADEDSTORES" xfId="2086"/>
    <cellStyle name="SHADEDSTORES 2" xfId="2087"/>
    <cellStyle name="songuyen" xfId="2088"/>
    <cellStyle name="specstores" xfId="2089"/>
    <cellStyle name="specstores 2" xfId="2090"/>
    <cellStyle name="Standard_AAbgleich" xfId="2091"/>
    <cellStyle name="STTDG" xfId="2092"/>
    <cellStyle name="STTDG 2" xfId="2093"/>
    <cellStyle name="style" xfId="2094"/>
    <cellStyle name="Style 1" xfId="60"/>
    <cellStyle name="Style 1 2" xfId="2095"/>
    <cellStyle name="Style 1 3" xfId="2096"/>
    <cellStyle name="Style 1 4" xfId="2097"/>
    <cellStyle name="Style 10" xfId="2098"/>
    <cellStyle name="Style 10 2" xfId="2099"/>
    <cellStyle name="Style 100" xfId="5217"/>
    <cellStyle name="Style 101" xfId="5218"/>
    <cellStyle name="Style 102" xfId="5219"/>
    <cellStyle name="Style 103" xfId="5220"/>
    <cellStyle name="Style 104" xfId="5221"/>
    <cellStyle name="Style 105" xfId="5222"/>
    <cellStyle name="Style 106" xfId="5223"/>
    <cellStyle name="Style 107" xfId="5224"/>
    <cellStyle name="Style 108" xfId="5225"/>
    <cellStyle name="Style 109" xfId="5226"/>
    <cellStyle name="Style 11" xfId="2100"/>
    <cellStyle name="Style 11 2" xfId="5227"/>
    <cellStyle name="Style 110" xfId="5228"/>
    <cellStyle name="Style 111" xfId="5229"/>
    <cellStyle name="Style 112" xfId="5230"/>
    <cellStyle name="Style 113" xfId="5231"/>
    <cellStyle name="Style 114" xfId="5232"/>
    <cellStyle name="Style 115" xfId="5233"/>
    <cellStyle name="Style 116" xfId="5234"/>
    <cellStyle name="Style 117" xfId="5235"/>
    <cellStyle name="Style 118" xfId="5236"/>
    <cellStyle name="Style 119" xfId="5237"/>
    <cellStyle name="Style 12" xfId="2101"/>
    <cellStyle name="Style 12 2" xfId="5238"/>
    <cellStyle name="Style 120" xfId="5239"/>
    <cellStyle name="Style 121" xfId="5240"/>
    <cellStyle name="Style 122" xfId="5241"/>
    <cellStyle name="Style 123" xfId="5242"/>
    <cellStyle name="Style 124" xfId="5243"/>
    <cellStyle name="Style 125" xfId="5244"/>
    <cellStyle name="Style 126" xfId="5245"/>
    <cellStyle name="Style 127" xfId="5246"/>
    <cellStyle name="Style 128" xfId="5247"/>
    <cellStyle name="Style 129" xfId="5248"/>
    <cellStyle name="Style 13" xfId="2102"/>
    <cellStyle name="Style 13 2" xfId="5249"/>
    <cellStyle name="Style 130" xfId="5250"/>
    <cellStyle name="Style 131" xfId="5251"/>
    <cellStyle name="Style 132" xfId="5252"/>
    <cellStyle name="Style 133" xfId="5253"/>
    <cellStyle name="Style 134" xfId="5254"/>
    <cellStyle name="Style 135" xfId="5255"/>
    <cellStyle name="Style 136" xfId="5256"/>
    <cellStyle name="Style 137" xfId="5257"/>
    <cellStyle name="Style 138" xfId="5258"/>
    <cellStyle name="Style 139" xfId="5259"/>
    <cellStyle name="Style 14" xfId="2103"/>
    <cellStyle name="Style 14 2" xfId="5260"/>
    <cellStyle name="Style 140" xfId="5261"/>
    <cellStyle name="Style 141" xfId="5262"/>
    <cellStyle name="Style 142" xfId="5263"/>
    <cellStyle name="Style 143" xfId="5264"/>
    <cellStyle name="Style 144" xfId="5265"/>
    <cellStyle name="Style 145" xfId="5266"/>
    <cellStyle name="Style 146" xfId="5267"/>
    <cellStyle name="Style 147" xfId="5268"/>
    <cellStyle name="Style 148" xfId="5269"/>
    <cellStyle name="Style 149" xfId="5270"/>
    <cellStyle name="Style 15" xfId="2104"/>
    <cellStyle name="Style 15 2" xfId="5271"/>
    <cellStyle name="Style 150" xfId="5272"/>
    <cellStyle name="Style 151" xfId="5273"/>
    <cellStyle name="Style 152" xfId="5274"/>
    <cellStyle name="Style 153" xfId="5275"/>
    <cellStyle name="Style 154" xfId="5276"/>
    <cellStyle name="Style 155" xfId="5277"/>
    <cellStyle name="Style 16" xfId="2105"/>
    <cellStyle name="Style 16 2" xfId="5278"/>
    <cellStyle name="Style 17" xfId="2106"/>
    <cellStyle name="Style 17 2" xfId="5279"/>
    <cellStyle name="Style 18" xfId="2107"/>
    <cellStyle name="Style 18 2" xfId="5280"/>
    <cellStyle name="Style 19" xfId="2108"/>
    <cellStyle name="Style 19 2" xfId="5281"/>
    <cellStyle name="Style 2" xfId="2109"/>
    <cellStyle name="Style 2 2" xfId="5282"/>
    <cellStyle name="Style 20" xfId="2110"/>
    <cellStyle name="Style 20 2" xfId="5283"/>
    <cellStyle name="Style 21" xfId="2111"/>
    <cellStyle name="Style 21 2" xfId="5284"/>
    <cellStyle name="Style 22" xfId="2112"/>
    <cellStyle name="Style 22 2" xfId="5285"/>
    <cellStyle name="Style 23" xfId="2113"/>
    <cellStyle name="Style 23 2" xfId="2114"/>
    <cellStyle name="Style 24" xfId="2115"/>
    <cellStyle name="Style 24 2" xfId="2116"/>
    <cellStyle name="Style 25" xfId="5286"/>
    <cellStyle name="Style 25 2" xfId="5287"/>
    <cellStyle name="Style 26" xfId="5288"/>
    <cellStyle name="Style 26 2" xfId="5289"/>
    <cellStyle name="Style 27" xfId="5290"/>
    <cellStyle name="Style 27 2" xfId="5291"/>
    <cellStyle name="Style 28" xfId="5292"/>
    <cellStyle name="Style 28 2" xfId="5293"/>
    <cellStyle name="Style 29" xfId="5294"/>
    <cellStyle name="Style 29 2" xfId="5295"/>
    <cellStyle name="Style 3" xfId="2117"/>
    <cellStyle name="Style 3 2" xfId="5296"/>
    <cellStyle name="Style 30" xfId="5297"/>
    <cellStyle name="Style 30 2" xfId="5298"/>
    <cellStyle name="Style 31" xfId="5299"/>
    <cellStyle name="Style 31 2" xfId="5300"/>
    <cellStyle name="Style 32" xfId="5301"/>
    <cellStyle name="Style 32 2" xfId="5302"/>
    <cellStyle name="Style 33" xfId="5303"/>
    <cellStyle name="Style 33 2" xfId="5304"/>
    <cellStyle name="Style 34" xfId="5305"/>
    <cellStyle name="Style 34 2" xfId="5306"/>
    <cellStyle name="Style 35" xfId="5307"/>
    <cellStyle name="Style 35 2" xfId="5308"/>
    <cellStyle name="Style 36" xfId="5309"/>
    <cellStyle name="Style 37" xfId="5310"/>
    <cellStyle name="Style 37 2" xfId="5311"/>
    <cellStyle name="Style 38" xfId="5312"/>
    <cellStyle name="Style 38 2" xfId="5313"/>
    <cellStyle name="Style 39" xfId="5314"/>
    <cellStyle name="Style 39 2" xfId="5315"/>
    <cellStyle name="Style 4" xfId="2118"/>
    <cellStyle name="Style 4 2" xfId="5316"/>
    <cellStyle name="Style 40" xfId="5317"/>
    <cellStyle name="Style 40 2" xfId="5318"/>
    <cellStyle name="Style 41" xfId="5319"/>
    <cellStyle name="Style 41 2" xfId="5320"/>
    <cellStyle name="Style 42" xfId="5321"/>
    <cellStyle name="Style 42 2" xfId="5322"/>
    <cellStyle name="Style 43" xfId="5323"/>
    <cellStyle name="Style 43 2" xfId="5324"/>
    <cellStyle name="Style 44" xfId="5325"/>
    <cellStyle name="Style 44 2" xfId="5326"/>
    <cellStyle name="Style 45" xfId="5327"/>
    <cellStyle name="Style 45 2" xfId="5328"/>
    <cellStyle name="Style 46" xfId="5329"/>
    <cellStyle name="Style 46 2" xfId="5330"/>
    <cellStyle name="Style 47" xfId="5331"/>
    <cellStyle name="Style 47 2" xfId="5332"/>
    <cellStyle name="Style 48" xfId="5333"/>
    <cellStyle name="Style 48 2" xfId="5334"/>
    <cellStyle name="Style 49" xfId="5335"/>
    <cellStyle name="Style 49 2" xfId="5336"/>
    <cellStyle name="Style 5" xfId="2119"/>
    <cellStyle name="Style 50" xfId="5337"/>
    <cellStyle name="Style 50 2" xfId="5338"/>
    <cellStyle name="Style 51" xfId="5339"/>
    <cellStyle name="Style 51 2" xfId="5340"/>
    <cellStyle name="Style 52" xfId="5341"/>
    <cellStyle name="Style 52 2" xfId="5342"/>
    <cellStyle name="Style 53" xfId="5343"/>
    <cellStyle name="Style 53 2" xfId="5344"/>
    <cellStyle name="Style 54" xfId="5345"/>
    <cellStyle name="Style 54 2" xfId="5346"/>
    <cellStyle name="Style 55" xfId="5347"/>
    <cellStyle name="Style 55 2" xfId="5348"/>
    <cellStyle name="Style 56" xfId="5349"/>
    <cellStyle name="Style 57" xfId="5350"/>
    <cellStyle name="Style 58" xfId="5351"/>
    <cellStyle name="Style 59" xfId="5352"/>
    <cellStyle name="Style 6" xfId="2120"/>
    <cellStyle name="Style 6 2" xfId="5353"/>
    <cellStyle name="Style 60" xfId="5354"/>
    <cellStyle name="Style 61" xfId="5355"/>
    <cellStyle name="Style 62" xfId="5356"/>
    <cellStyle name="Style 63" xfId="5357"/>
    <cellStyle name="Style 64" xfId="5358"/>
    <cellStyle name="Style 65" xfId="5359"/>
    <cellStyle name="Style 66" xfId="5360"/>
    <cellStyle name="Style 67" xfId="5361"/>
    <cellStyle name="Style 68" xfId="5362"/>
    <cellStyle name="Style 69" xfId="5363"/>
    <cellStyle name="Style 7" xfId="2121"/>
    <cellStyle name="Style 7 2" xfId="5364"/>
    <cellStyle name="Style 70" xfId="5365"/>
    <cellStyle name="Style 71" xfId="5366"/>
    <cellStyle name="Style 72" xfId="5367"/>
    <cellStyle name="Style 73" xfId="5368"/>
    <cellStyle name="Style 74" xfId="5369"/>
    <cellStyle name="Style 75" xfId="5370"/>
    <cellStyle name="Style 76" xfId="5371"/>
    <cellStyle name="Style 77" xfId="5372"/>
    <cellStyle name="Style 78" xfId="5373"/>
    <cellStyle name="Style 79" xfId="5374"/>
    <cellStyle name="Style 8" xfId="2122"/>
    <cellStyle name="Style 8 2" xfId="5375"/>
    <cellStyle name="Style 80" xfId="5376"/>
    <cellStyle name="Style 81" xfId="5377"/>
    <cellStyle name="Style 82" xfId="5378"/>
    <cellStyle name="Style 83" xfId="5379"/>
    <cellStyle name="Style 84" xfId="5380"/>
    <cellStyle name="Style 85" xfId="5381"/>
    <cellStyle name="Style 86" xfId="5382"/>
    <cellStyle name="Style 87" xfId="5383"/>
    <cellStyle name="Style 88" xfId="5384"/>
    <cellStyle name="Style 89" xfId="5385"/>
    <cellStyle name="Style 9" xfId="2123"/>
    <cellStyle name="Style 9 2" xfId="5386"/>
    <cellStyle name="Style 90" xfId="5387"/>
    <cellStyle name="Style 91" xfId="5388"/>
    <cellStyle name="Style 92" xfId="5389"/>
    <cellStyle name="Style 93" xfId="5390"/>
    <cellStyle name="Style 94" xfId="5391"/>
    <cellStyle name="Style 95" xfId="5392"/>
    <cellStyle name="Style 96" xfId="5393"/>
    <cellStyle name="Style 97" xfId="5394"/>
    <cellStyle name="Style 98" xfId="5395"/>
    <cellStyle name="Style 99" xfId="5396"/>
    <cellStyle name="Style Date" xfId="5397"/>
    <cellStyle name="style_1" xfId="5398"/>
    <cellStyle name="subhead" xfId="2124"/>
    <cellStyle name="subhead 2" xfId="2125"/>
    <cellStyle name="subhead 3" xfId="2126"/>
    <cellStyle name="subhead 4" xfId="2127"/>
    <cellStyle name="Subtotal" xfId="2128"/>
    <cellStyle name="Subtotal 2" xfId="2129"/>
    <cellStyle name="symbol" xfId="2130"/>
    <cellStyle name="symbol 2" xfId="2131"/>
    <cellStyle name="T" xfId="2132"/>
    <cellStyle name="T 2" xfId="2133"/>
    <cellStyle name="T 3" xfId="2134"/>
    <cellStyle name="T 4" xfId="2135"/>
    <cellStyle name="T_15_10_2013 BC nhu cau von doi ung ODA (2014-2016) ngay 15102013 Sua" xfId="5399"/>
    <cellStyle name="T_bao cao" xfId="5400"/>
    <cellStyle name="T_bao cao 2" xfId="5401"/>
    <cellStyle name="T_bao cao phan bo KHDT 2011(final)" xfId="5402"/>
    <cellStyle name="T_Bao cao so lieu kiem toan nam 2007 sua" xfId="5403"/>
    <cellStyle name="T_Bao cao so lieu kiem toan nam 2007 sua 2" xfId="5404"/>
    <cellStyle name="T_Bao cao so lieu kiem toan nam 2007 sua_!1 1 bao cao giao KH ve HTCMT vung TNB   12-12-2011" xfId="5405"/>
    <cellStyle name="T_Bao cao so lieu kiem toan nam 2007 sua_!1 1 bao cao giao KH ve HTCMT vung TNB   12-12-2011 2" xfId="5406"/>
    <cellStyle name="T_Bao cao so lieu kiem toan nam 2007 sua_KH TPCP vung TNB (03-1-2012)" xfId="5407"/>
    <cellStyle name="T_Bao cao so lieu kiem toan nam 2007 sua_KH TPCP vung TNB (03-1-2012) 2" xfId="5408"/>
    <cellStyle name="T_bao cao_!1 1 bao cao giao KH ve HTCMT vung TNB   12-12-2011" xfId="5409"/>
    <cellStyle name="T_bao cao_!1 1 bao cao giao KH ve HTCMT vung TNB   12-12-2011 2" xfId="5410"/>
    <cellStyle name="T_bao cao_Bieu4HTMT" xfId="5411"/>
    <cellStyle name="T_bao cao_Bieu4HTMT 2" xfId="5412"/>
    <cellStyle name="T_bao cao_Bieu4HTMT_!1 1 bao cao giao KH ve HTCMT vung TNB   12-12-2011" xfId="5413"/>
    <cellStyle name="T_bao cao_Bieu4HTMT_!1 1 bao cao giao KH ve HTCMT vung TNB   12-12-2011 2" xfId="5414"/>
    <cellStyle name="T_bao cao_Bieu4HTMT_KH TPCP vung TNB (03-1-2012)" xfId="5415"/>
    <cellStyle name="T_bao cao_Bieu4HTMT_KH TPCP vung TNB (03-1-2012) 2" xfId="5416"/>
    <cellStyle name="T_bao cao_KH TPCP vung TNB (03-1-2012)" xfId="5417"/>
    <cellStyle name="T_bao cao_KH TPCP vung TNB (03-1-2012) 2" xfId="5418"/>
    <cellStyle name="T_BBTNG-06" xfId="2136"/>
    <cellStyle name="T_BBTNG-06 2" xfId="2137"/>
    <cellStyle name="T_BBTNG-06_!1 1 bao cao giao KH ve HTCMT vung TNB   12-12-2011" xfId="5419"/>
    <cellStyle name="T_BBTNG-06_!1 1 bao cao giao KH ve HTCMT vung TNB   12-12-2011 2" xfId="5420"/>
    <cellStyle name="T_BBTNG-06_Bieu4HTMT" xfId="5421"/>
    <cellStyle name="T_BBTNG-06_Bieu4HTMT 2" xfId="5422"/>
    <cellStyle name="T_BBTNG-06_Bieu4HTMT_!1 1 bao cao giao KH ve HTCMT vung TNB   12-12-2011" xfId="5423"/>
    <cellStyle name="T_BBTNG-06_Bieu4HTMT_!1 1 bao cao giao KH ve HTCMT vung TNB   12-12-2011 2" xfId="5424"/>
    <cellStyle name="T_BBTNG-06_Bieu4HTMT_KH TPCP vung TNB (03-1-2012)" xfId="5425"/>
    <cellStyle name="T_BBTNG-06_Bieu4HTMT_KH TPCP vung TNB (03-1-2012) 2" xfId="5426"/>
    <cellStyle name="T_BBTNG-06_KH TPCP vung TNB (03-1-2012)" xfId="5427"/>
    <cellStyle name="T_BBTNG-06_KH TPCP vung TNB (03-1-2012) 2" xfId="5428"/>
    <cellStyle name="T_BC  NAM 2007" xfId="5429"/>
    <cellStyle name="T_BC  NAM 2007 2" xfId="5430"/>
    <cellStyle name="T_BC CTMT-2008 Ttinh" xfId="5431"/>
    <cellStyle name="T_BC CTMT-2008 Ttinh 2" xfId="5432"/>
    <cellStyle name="T_BC CTMT-2008 Ttinh_!1 1 bao cao giao KH ve HTCMT vung TNB   12-12-2011" xfId="5433"/>
    <cellStyle name="T_BC CTMT-2008 Ttinh_!1 1 bao cao giao KH ve HTCMT vung TNB   12-12-2011 2" xfId="5434"/>
    <cellStyle name="T_BC CTMT-2008 Ttinh_KH TPCP vung TNB (03-1-2012)" xfId="5435"/>
    <cellStyle name="T_BC CTMT-2008 Ttinh_KH TPCP vung TNB (03-1-2012) 2" xfId="5436"/>
    <cellStyle name="T_BC nhu cau von doi ung ODA nganh NN (BKH)" xfId="5437"/>
    <cellStyle name="T_BC nhu cau von doi ung ODA nganh NN (BKH)_05-12  KH trung han 2016-2020 - Liem Thinh edited" xfId="5438"/>
    <cellStyle name="T_BC nhu cau von doi ung ODA nganh NN (BKH)_Copy of 05-12  KH trung han 2016-2020 - Liem Thinh edited (1)" xfId="5439"/>
    <cellStyle name="T_BC Tai co cau (bieu TH)" xfId="5440"/>
    <cellStyle name="T_BC Tai co cau (bieu TH)_05-12  KH trung han 2016-2020 - Liem Thinh edited" xfId="5441"/>
    <cellStyle name="T_BC Tai co cau (bieu TH)_Copy of 05-12  KH trung han 2016-2020 - Liem Thinh edited (1)" xfId="5442"/>
    <cellStyle name="T_Bieu 4.2 A, B KHCTgiong 2011" xfId="5443"/>
    <cellStyle name="T_Bieu 4.2 A, B KHCTgiong 2011 10" xfId="5444"/>
    <cellStyle name="T_Bieu 4.2 A, B KHCTgiong 2011 11" xfId="5445"/>
    <cellStyle name="T_Bieu 4.2 A, B KHCTgiong 2011 12" xfId="5446"/>
    <cellStyle name="T_Bieu 4.2 A, B KHCTgiong 2011 13" xfId="5447"/>
    <cellStyle name="T_Bieu 4.2 A, B KHCTgiong 2011 14" xfId="5448"/>
    <cellStyle name="T_Bieu 4.2 A, B KHCTgiong 2011 15" xfId="5449"/>
    <cellStyle name="T_Bieu 4.2 A, B KHCTgiong 2011 2" xfId="5450"/>
    <cellStyle name="T_Bieu 4.2 A, B KHCTgiong 2011 3" xfId="5451"/>
    <cellStyle name="T_Bieu 4.2 A, B KHCTgiong 2011 4" xfId="5452"/>
    <cellStyle name="T_Bieu 4.2 A, B KHCTgiong 2011 5" xfId="5453"/>
    <cellStyle name="T_Bieu 4.2 A, B KHCTgiong 2011 6" xfId="5454"/>
    <cellStyle name="T_Bieu 4.2 A, B KHCTgiong 2011 7" xfId="5455"/>
    <cellStyle name="T_Bieu 4.2 A, B KHCTgiong 2011 8" xfId="5456"/>
    <cellStyle name="T_Bieu 4.2 A, B KHCTgiong 2011 9" xfId="5457"/>
    <cellStyle name="T_Bieu mau cong trinh khoi cong moi 3-4" xfId="5458"/>
    <cellStyle name="T_Bieu mau cong trinh khoi cong moi 3-4 2" xfId="5459"/>
    <cellStyle name="T_Bieu mau cong trinh khoi cong moi 3-4_!1 1 bao cao giao KH ve HTCMT vung TNB   12-12-2011" xfId="5460"/>
    <cellStyle name="T_Bieu mau cong trinh khoi cong moi 3-4_!1 1 bao cao giao KH ve HTCMT vung TNB   12-12-2011 2" xfId="5461"/>
    <cellStyle name="T_Bieu mau cong trinh khoi cong moi 3-4_KH TPCP vung TNB (03-1-2012)" xfId="5462"/>
    <cellStyle name="T_Bieu mau cong trinh khoi cong moi 3-4_KH TPCP vung TNB (03-1-2012) 2" xfId="5463"/>
    <cellStyle name="T_Bieu mau danh muc du an thuoc CTMTQG nam 2008" xfId="5464"/>
    <cellStyle name="T_Bieu mau danh muc du an thuoc CTMTQG nam 2008 2" xfId="5465"/>
    <cellStyle name="T_Bieu mau danh muc du an thuoc CTMTQG nam 2008_!1 1 bao cao giao KH ve HTCMT vung TNB   12-12-2011" xfId="5466"/>
    <cellStyle name="T_Bieu mau danh muc du an thuoc CTMTQG nam 2008_!1 1 bao cao giao KH ve HTCMT vung TNB   12-12-2011 2" xfId="5467"/>
    <cellStyle name="T_Bieu mau danh muc du an thuoc CTMTQG nam 2008_KH TPCP vung TNB (03-1-2012)" xfId="5468"/>
    <cellStyle name="T_Bieu mau danh muc du an thuoc CTMTQG nam 2008_KH TPCP vung TNB (03-1-2012) 2" xfId="5469"/>
    <cellStyle name="T_Bieu tong hop nhu cau ung 2011 da chon loc -Mien nui" xfId="5470"/>
    <cellStyle name="T_Bieu tong hop nhu cau ung 2011 da chon loc -Mien nui 2" xfId="5471"/>
    <cellStyle name="T_Bieu tong hop nhu cau ung 2011 da chon loc -Mien nui_!1 1 bao cao giao KH ve HTCMT vung TNB   12-12-2011" xfId="5472"/>
    <cellStyle name="T_Bieu tong hop nhu cau ung 2011 da chon loc -Mien nui_!1 1 bao cao giao KH ve HTCMT vung TNB   12-12-2011 2" xfId="5473"/>
    <cellStyle name="T_Bieu tong hop nhu cau ung 2011 da chon loc -Mien nui_KH TPCP vung TNB (03-1-2012)" xfId="5474"/>
    <cellStyle name="T_Bieu tong hop nhu cau ung 2011 da chon loc -Mien nui_KH TPCP vung TNB (03-1-2012) 2" xfId="5475"/>
    <cellStyle name="T_Bieu3ODA" xfId="5476"/>
    <cellStyle name="T_Bieu3ODA 2" xfId="5477"/>
    <cellStyle name="T_Bieu3ODA_!1 1 bao cao giao KH ve HTCMT vung TNB   12-12-2011" xfId="5478"/>
    <cellStyle name="T_Bieu3ODA_!1 1 bao cao giao KH ve HTCMT vung TNB   12-12-2011 2" xfId="5479"/>
    <cellStyle name="T_Bieu3ODA_1" xfId="5480"/>
    <cellStyle name="T_Bieu3ODA_1 2" xfId="5481"/>
    <cellStyle name="T_Bieu3ODA_1_!1 1 bao cao giao KH ve HTCMT vung TNB   12-12-2011" xfId="5482"/>
    <cellStyle name="T_Bieu3ODA_1_!1 1 bao cao giao KH ve HTCMT vung TNB   12-12-2011 2" xfId="5483"/>
    <cellStyle name="T_Bieu3ODA_1_KH TPCP vung TNB (03-1-2012)" xfId="5484"/>
    <cellStyle name="T_Bieu3ODA_1_KH TPCP vung TNB (03-1-2012) 2" xfId="5485"/>
    <cellStyle name="T_Bieu3ODA_KH TPCP vung TNB (03-1-2012)" xfId="5486"/>
    <cellStyle name="T_Bieu3ODA_KH TPCP vung TNB (03-1-2012) 2" xfId="5487"/>
    <cellStyle name="T_Bieu4HTMT" xfId="5488"/>
    <cellStyle name="T_Bieu4HTMT 2" xfId="5489"/>
    <cellStyle name="T_Bieu4HTMT_!1 1 bao cao giao KH ve HTCMT vung TNB   12-12-2011" xfId="5490"/>
    <cellStyle name="T_Bieu4HTMT_!1 1 bao cao giao KH ve HTCMT vung TNB   12-12-2011 2" xfId="5491"/>
    <cellStyle name="T_Bieu4HTMT_KH TPCP vung TNB (03-1-2012)" xfId="5492"/>
    <cellStyle name="T_Bieu4HTMT_KH TPCP vung TNB (03-1-2012) 2" xfId="5493"/>
    <cellStyle name="T_bo sung von KCH nam 2010 va Du an tre kho khan" xfId="5494"/>
    <cellStyle name="T_bo sung von KCH nam 2010 va Du an tre kho khan 2" xfId="5495"/>
    <cellStyle name="T_bo sung von KCH nam 2010 va Du an tre kho khan_!1 1 bao cao giao KH ve HTCMT vung TNB   12-12-2011" xfId="5496"/>
    <cellStyle name="T_bo sung von KCH nam 2010 va Du an tre kho khan_!1 1 bao cao giao KH ve HTCMT vung TNB   12-12-2011 2" xfId="5497"/>
    <cellStyle name="T_bo sung von KCH nam 2010 va Du an tre kho khan_KH TPCP vung TNB (03-1-2012)" xfId="5498"/>
    <cellStyle name="T_bo sung von KCH nam 2010 va Du an tre kho khan_KH TPCP vung TNB (03-1-2012) 2" xfId="5499"/>
    <cellStyle name="T_Book1" xfId="2138"/>
    <cellStyle name="T_Book1 2" xfId="2139"/>
    <cellStyle name="T_Book1 3" xfId="5500"/>
    <cellStyle name="T_Book1_!1 1 bao cao giao KH ve HTCMT vung TNB   12-12-2011" xfId="5501"/>
    <cellStyle name="T_Book1_!1 1 bao cao giao KH ve HTCMT vung TNB   12-12-2011 2" xfId="5502"/>
    <cellStyle name="T_Book1_1" xfId="5503"/>
    <cellStyle name="T_Book1_1 2" xfId="5504"/>
    <cellStyle name="T_Book1_1_Bieu tong hop nhu cau ung 2011 da chon loc -Mien nui" xfId="5505"/>
    <cellStyle name="T_Book1_1_Bieu tong hop nhu cau ung 2011 da chon loc -Mien nui 2" xfId="5506"/>
    <cellStyle name="T_Book1_1_Bieu tong hop nhu cau ung 2011 da chon loc -Mien nui_!1 1 bao cao giao KH ve HTCMT vung TNB   12-12-2011" xfId="5507"/>
    <cellStyle name="T_Book1_1_Bieu tong hop nhu cau ung 2011 da chon loc -Mien nui_!1 1 bao cao giao KH ve HTCMT vung TNB   12-12-2011 2" xfId="5508"/>
    <cellStyle name="T_Book1_1_Bieu tong hop nhu cau ung 2011 da chon loc -Mien nui_KH TPCP vung TNB (03-1-2012)" xfId="5509"/>
    <cellStyle name="T_Book1_1_Bieu tong hop nhu cau ung 2011 da chon loc -Mien nui_KH TPCP vung TNB (03-1-2012) 2" xfId="5510"/>
    <cellStyle name="T_Book1_1_Bieu3ODA" xfId="5511"/>
    <cellStyle name="T_Book1_1_Bieu3ODA 2" xfId="5512"/>
    <cellStyle name="T_Book1_1_Bieu3ODA_!1 1 bao cao giao KH ve HTCMT vung TNB   12-12-2011" xfId="5513"/>
    <cellStyle name="T_Book1_1_Bieu3ODA_!1 1 bao cao giao KH ve HTCMT vung TNB   12-12-2011 2" xfId="5514"/>
    <cellStyle name="T_Book1_1_Bieu3ODA_KH TPCP vung TNB (03-1-2012)" xfId="5515"/>
    <cellStyle name="T_Book1_1_Bieu3ODA_KH TPCP vung TNB (03-1-2012) 2" xfId="5516"/>
    <cellStyle name="T_Book1_1_CPK" xfId="5517"/>
    <cellStyle name="T_Book1_1_CPK 2" xfId="5518"/>
    <cellStyle name="T_Book1_1_CPK_!1 1 bao cao giao KH ve HTCMT vung TNB   12-12-2011" xfId="5519"/>
    <cellStyle name="T_Book1_1_CPK_!1 1 bao cao giao KH ve HTCMT vung TNB   12-12-2011 2" xfId="5520"/>
    <cellStyle name="T_Book1_1_CPK_Bieu4HTMT" xfId="5521"/>
    <cellStyle name="T_Book1_1_CPK_Bieu4HTMT 2" xfId="5522"/>
    <cellStyle name="T_Book1_1_CPK_Bieu4HTMT_!1 1 bao cao giao KH ve HTCMT vung TNB   12-12-2011" xfId="5523"/>
    <cellStyle name="T_Book1_1_CPK_Bieu4HTMT_!1 1 bao cao giao KH ve HTCMT vung TNB   12-12-2011 2" xfId="5524"/>
    <cellStyle name="T_Book1_1_CPK_Bieu4HTMT_KH TPCP vung TNB (03-1-2012)" xfId="5525"/>
    <cellStyle name="T_Book1_1_CPK_Bieu4HTMT_KH TPCP vung TNB (03-1-2012) 2" xfId="5526"/>
    <cellStyle name="T_Book1_1_CPK_KH TPCP vung TNB (03-1-2012)" xfId="5527"/>
    <cellStyle name="T_Book1_1_CPK_KH TPCP vung TNB (03-1-2012) 2" xfId="5528"/>
    <cellStyle name="T_Book1_1_KH TPCP vung TNB (03-1-2012)" xfId="5531"/>
    <cellStyle name="T_Book1_1_KH TPCP vung TNB (03-1-2012) 2" xfId="5532"/>
    <cellStyle name="T_Book1_1_kien giang 2" xfId="5529"/>
    <cellStyle name="T_Book1_1_kien giang 2 2" xfId="5530"/>
    <cellStyle name="T_Book1_1_Luy ke von ung nam 2011 -Thoa gui ngay 12-8-2012" xfId="5533"/>
    <cellStyle name="T_Book1_1_Luy ke von ung nam 2011 -Thoa gui ngay 12-8-2012 2" xfId="5534"/>
    <cellStyle name="T_Book1_1_Luy ke von ung nam 2011 -Thoa gui ngay 12-8-2012_!1 1 bao cao giao KH ve HTCMT vung TNB   12-12-2011" xfId="5535"/>
    <cellStyle name="T_Book1_1_Luy ke von ung nam 2011 -Thoa gui ngay 12-8-2012_!1 1 bao cao giao KH ve HTCMT vung TNB   12-12-2011 2" xfId="5536"/>
    <cellStyle name="T_Book1_1_Luy ke von ung nam 2011 -Thoa gui ngay 12-8-2012_KH TPCP vung TNB (03-1-2012)" xfId="5537"/>
    <cellStyle name="T_Book1_1_Luy ke von ung nam 2011 -Thoa gui ngay 12-8-2012_KH TPCP vung TNB (03-1-2012) 2" xfId="5538"/>
    <cellStyle name="T_Book1_1_Thiet bi" xfId="5539"/>
    <cellStyle name="T_Book1_1_Thiet bi 2" xfId="5540"/>
    <cellStyle name="T_Book1_1_Thiet bi_!1 1 bao cao giao KH ve HTCMT vung TNB   12-12-2011" xfId="5541"/>
    <cellStyle name="T_Book1_1_Thiet bi_!1 1 bao cao giao KH ve HTCMT vung TNB   12-12-2011 2" xfId="5542"/>
    <cellStyle name="T_Book1_1_Thiet bi_Bieu4HTMT" xfId="5543"/>
    <cellStyle name="T_Book1_1_Thiet bi_Bieu4HTMT 2" xfId="5544"/>
    <cellStyle name="T_Book1_1_Thiet bi_Bieu4HTMT_!1 1 bao cao giao KH ve HTCMT vung TNB   12-12-2011" xfId="5545"/>
    <cellStyle name="T_Book1_1_Thiet bi_Bieu4HTMT_!1 1 bao cao giao KH ve HTCMT vung TNB   12-12-2011 2" xfId="5546"/>
    <cellStyle name="T_Book1_1_Thiet bi_Bieu4HTMT_KH TPCP vung TNB (03-1-2012)" xfId="5547"/>
    <cellStyle name="T_Book1_1_Thiet bi_Bieu4HTMT_KH TPCP vung TNB (03-1-2012) 2" xfId="5548"/>
    <cellStyle name="T_Book1_1_Thiet bi_KH TPCP vung TNB (03-1-2012)" xfId="5549"/>
    <cellStyle name="T_Book1_1_Thiet bi_KH TPCP vung TNB (03-1-2012) 2" xfId="5550"/>
    <cellStyle name="T_Book1_15_10_2013 BC nhu cau von doi ung ODA (2014-2016) ngay 15102013 Sua" xfId="5551"/>
    <cellStyle name="T_Book1_bao cao phan bo KHDT 2011(final)" xfId="5552"/>
    <cellStyle name="T_Book1_bao cao phan bo KHDT 2011(final)_BC nhu cau von doi ung ODA nganh NN (BKH)" xfId="5553"/>
    <cellStyle name="T_Book1_bao cao phan bo KHDT 2011(final)_BC Tai co cau (bieu TH)" xfId="5554"/>
    <cellStyle name="T_Book1_bao cao phan bo KHDT 2011(final)_DK 2014-2015 final" xfId="5555"/>
    <cellStyle name="T_Book1_bao cao phan bo KHDT 2011(final)_DK 2014-2015 new" xfId="5556"/>
    <cellStyle name="T_Book1_bao cao phan bo KHDT 2011(final)_DK KH CBDT 2014 11-11-2013" xfId="5557"/>
    <cellStyle name="T_Book1_bao cao phan bo KHDT 2011(final)_DK KH CBDT 2014 11-11-2013(1)" xfId="5558"/>
    <cellStyle name="T_Book1_bao cao phan bo KHDT 2011(final)_KH 2011-2015" xfId="5559"/>
    <cellStyle name="T_Book1_bao cao phan bo KHDT 2011(final)_tai co cau dau tu (tong hop)1" xfId="5560"/>
    <cellStyle name="T_Book1_BC nhu cau von doi ung ODA nganh NN (BKH)" xfId="5565"/>
    <cellStyle name="T_Book1_BC nhu cau von doi ung ODA nganh NN (BKH)_05-12  KH trung han 2016-2020 - Liem Thinh edited" xfId="5566"/>
    <cellStyle name="T_Book1_BC nhu cau von doi ung ODA nganh NN (BKH)_Copy of 05-12  KH trung han 2016-2020 - Liem Thinh edited (1)" xfId="5567"/>
    <cellStyle name="T_Book1_BC NQ11-CP - chinh sua lai" xfId="5561"/>
    <cellStyle name="T_Book1_BC NQ11-CP - chinh sua lai 2" xfId="5562"/>
    <cellStyle name="T_Book1_BC NQ11-CP-Quynh sau bieu so3" xfId="5563"/>
    <cellStyle name="T_Book1_BC NQ11-CP-Quynh sau bieu so3 2" xfId="5564"/>
    <cellStyle name="T_Book1_BC Tai co cau (bieu TH)" xfId="5568"/>
    <cellStyle name="T_Book1_BC Tai co cau (bieu TH)_05-12  KH trung han 2016-2020 - Liem Thinh edited" xfId="5569"/>
    <cellStyle name="T_Book1_BC Tai co cau (bieu TH)_Copy of 05-12  KH trung han 2016-2020 - Liem Thinh edited (1)" xfId="5570"/>
    <cellStyle name="T_Book1_BC_NQ11-CP_-_Thao_sua_lai" xfId="5571"/>
    <cellStyle name="T_Book1_BC_NQ11-CP_-_Thao_sua_lai 2" xfId="5572"/>
    <cellStyle name="T_Book1_Bieu mau cong trinh khoi cong moi 3-4" xfId="5573"/>
    <cellStyle name="T_Book1_Bieu mau cong trinh khoi cong moi 3-4 2" xfId="5574"/>
    <cellStyle name="T_Book1_Bieu mau cong trinh khoi cong moi 3-4_!1 1 bao cao giao KH ve HTCMT vung TNB   12-12-2011" xfId="5575"/>
    <cellStyle name="T_Book1_Bieu mau cong trinh khoi cong moi 3-4_!1 1 bao cao giao KH ve HTCMT vung TNB   12-12-2011 2" xfId="5576"/>
    <cellStyle name="T_Book1_Bieu mau cong trinh khoi cong moi 3-4_KH TPCP vung TNB (03-1-2012)" xfId="5577"/>
    <cellStyle name="T_Book1_Bieu mau cong trinh khoi cong moi 3-4_KH TPCP vung TNB (03-1-2012) 2" xfId="5578"/>
    <cellStyle name="T_Book1_Bieu mau danh muc du an thuoc CTMTQG nam 2008" xfId="5579"/>
    <cellStyle name="T_Book1_Bieu mau danh muc du an thuoc CTMTQG nam 2008 2" xfId="5580"/>
    <cellStyle name="T_Book1_Bieu mau danh muc du an thuoc CTMTQG nam 2008_!1 1 bao cao giao KH ve HTCMT vung TNB   12-12-2011" xfId="5581"/>
    <cellStyle name="T_Book1_Bieu mau danh muc du an thuoc CTMTQG nam 2008_!1 1 bao cao giao KH ve HTCMT vung TNB   12-12-2011 2" xfId="5582"/>
    <cellStyle name="T_Book1_Bieu mau danh muc du an thuoc CTMTQG nam 2008_KH TPCP vung TNB (03-1-2012)" xfId="5583"/>
    <cellStyle name="T_Book1_Bieu mau danh muc du an thuoc CTMTQG nam 2008_KH TPCP vung TNB (03-1-2012) 2" xfId="5584"/>
    <cellStyle name="T_Book1_Bieu tong hop nhu cau ung 2011 da chon loc -Mien nui" xfId="5585"/>
    <cellStyle name="T_Book1_Bieu tong hop nhu cau ung 2011 da chon loc -Mien nui 2" xfId="5586"/>
    <cellStyle name="T_Book1_Bieu tong hop nhu cau ung 2011 da chon loc -Mien nui_!1 1 bao cao giao KH ve HTCMT vung TNB   12-12-2011" xfId="5587"/>
    <cellStyle name="T_Book1_Bieu tong hop nhu cau ung 2011 da chon loc -Mien nui_!1 1 bao cao giao KH ve HTCMT vung TNB   12-12-2011 2" xfId="5588"/>
    <cellStyle name="T_Book1_Bieu tong hop nhu cau ung 2011 da chon loc -Mien nui_KH TPCP vung TNB (03-1-2012)" xfId="5589"/>
    <cellStyle name="T_Book1_Bieu tong hop nhu cau ung 2011 da chon loc -Mien nui_KH TPCP vung TNB (03-1-2012) 2" xfId="5590"/>
    <cellStyle name="T_Book1_Bieu3ODA" xfId="5591"/>
    <cellStyle name="T_Book1_Bieu3ODA 2" xfId="5592"/>
    <cellStyle name="T_Book1_Bieu3ODA_!1 1 bao cao giao KH ve HTCMT vung TNB   12-12-2011" xfId="5593"/>
    <cellStyle name="T_Book1_Bieu3ODA_!1 1 bao cao giao KH ve HTCMT vung TNB   12-12-2011 2" xfId="5594"/>
    <cellStyle name="T_Book1_Bieu3ODA_1" xfId="5595"/>
    <cellStyle name="T_Book1_Bieu3ODA_1 2" xfId="5596"/>
    <cellStyle name="T_Book1_Bieu3ODA_1_!1 1 bao cao giao KH ve HTCMT vung TNB   12-12-2011" xfId="5597"/>
    <cellStyle name="T_Book1_Bieu3ODA_1_!1 1 bao cao giao KH ve HTCMT vung TNB   12-12-2011 2" xfId="5598"/>
    <cellStyle name="T_Book1_Bieu3ODA_1_KH TPCP vung TNB (03-1-2012)" xfId="5599"/>
    <cellStyle name="T_Book1_Bieu3ODA_1_KH TPCP vung TNB (03-1-2012) 2" xfId="5600"/>
    <cellStyle name="T_Book1_Bieu3ODA_KH TPCP vung TNB (03-1-2012)" xfId="5601"/>
    <cellStyle name="T_Book1_Bieu3ODA_KH TPCP vung TNB (03-1-2012) 2" xfId="5602"/>
    <cellStyle name="T_Book1_Bieu4HTMT" xfId="5603"/>
    <cellStyle name="T_Book1_Bieu4HTMT 2" xfId="5604"/>
    <cellStyle name="T_Book1_Bieu4HTMT_!1 1 bao cao giao KH ve HTCMT vung TNB   12-12-2011" xfId="5605"/>
    <cellStyle name="T_Book1_Bieu4HTMT_!1 1 bao cao giao KH ve HTCMT vung TNB   12-12-2011 2" xfId="5606"/>
    <cellStyle name="T_Book1_Bieu4HTMT_KH TPCP vung TNB (03-1-2012)" xfId="5607"/>
    <cellStyle name="T_Book1_Bieu4HTMT_KH TPCP vung TNB (03-1-2012) 2" xfId="5608"/>
    <cellStyle name="T_Book1_Book1" xfId="5609"/>
    <cellStyle name="T_Book1_Book1 2" xfId="5610"/>
    <cellStyle name="T_Book1_Cong trinh co y kien LD_Dang_NN_2011-Tay nguyen-9-10" xfId="5611"/>
    <cellStyle name="T_Book1_Cong trinh co y kien LD_Dang_NN_2011-Tay nguyen-9-10 2" xfId="5612"/>
    <cellStyle name="T_Book1_Cong trinh co y kien LD_Dang_NN_2011-Tay nguyen-9-10_!1 1 bao cao giao KH ve HTCMT vung TNB   12-12-2011" xfId="5613"/>
    <cellStyle name="T_Book1_Cong trinh co y kien LD_Dang_NN_2011-Tay nguyen-9-10_!1 1 bao cao giao KH ve HTCMT vung TNB   12-12-2011 2" xfId="5614"/>
    <cellStyle name="T_Book1_Cong trinh co y kien LD_Dang_NN_2011-Tay nguyen-9-10_Bieu4HTMT" xfId="5615"/>
    <cellStyle name="T_Book1_Cong trinh co y kien LD_Dang_NN_2011-Tay nguyen-9-10_Bieu4HTMT 2" xfId="5616"/>
    <cellStyle name="T_Book1_Cong trinh co y kien LD_Dang_NN_2011-Tay nguyen-9-10_KH TPCP vung TNB (03-1-2012)" xfId="5617"/>
    <cellStyle name="T_Book1_Cong trinh co y kien LD_Dang_NN_2011-Tay nguyen-9-10_KH TPCP vung TNB (03-1-2012) 2" xfId="5618"/>
    <cellStyle name="T_Book1_CPK" xfId="5619"/>
    <cellStyle name="T_Book1_CPK 2" xfId="5620"/>
    <cellStyle name="T_Book1_danh muc chuan bi dau tu 2011 ngay 07-6-2011" xfId="5621"/>
    <cellStyle name="T_Book1_danh muc chuan bi dau tu 2011 ngay 07-6-2011 2" xfId="5622"/>
    <cellStyle name="T_Book1_dieu chinh KH 2011 ngay 26-5-2011111" xfId="5623"/>
    <cellStyle name="T_Book1_dieu chinh KH 2011 ngay 26-5-2011111 2" xfId="5624"/>
    <cellStyle name="T_Book1_DK 2014-2015 final" xfId="5625"/>
    <cellStyle name="T_Book1_DK 2014-2015 final_05-12  KH trung han 2016-2020 - Liem Thinh edited" xfId="5626"/>
    <cellStyle name="T_Book1_DK 2014-2015 final_Copy of 05-12  KH trung han 2016-2020 - Liem Thinh edited (1)" xfId="5627"/>
    <cellStyle name="T_Book1_DK 2014-2015 new" xfId="5628"/>
    <cellStyle name="T_Book1_DK 2014-2015 new_05-12  KH trung han 2016-2020 - Liem Thinh edited" xfId="5629"/>
    <cellStyle name="T_Book1_DK 2014-2015 new_Copy of 05-12  KH trung han 2016-2020 - Liem Thinh edited (1)" xfId="5630"/>
    <cellStyle name="T_Book1_DK KH CBDT 2014 11-11-2013" xfId="5631"/>
    <cellStyle name="T_Book1_DK KH CBDT 2014 11-11-2013(1)" xfId="5632"/>
    <cellStyle name="T_Book1_DK KH CBDT 2014 11-11-2013(1)_05-12  KH trung han 2016-2020 - Liem Thinh edited" xfId="5633"/>
    <cellStyle name="T_Book1_DK KH CBDT 2014 11-11-2013(1)_Copy of 05-12  KH trung han 2016-2020 - Liem Thinh edited (1)" xfId="5634"/>
    <cellStyle name="T_Book1_DK KH CBDT 2014 11-11-2013_05-12  KH trung han 2016-2020 - Liem Thinh edited" xfId="5635"/>
    <cellStyle name="T_Book1_DK KH CBDT 2014 11-11-2013_Copy of 05-12  KH trung han 2016-2020 - Liem Thinh edited (1)" xfId="5636"/>
    <cellStyle name="T_Book1_Du an khoi cong moi nam 2010" xfId="5637"/>
    <cellStyle name="T_Book1_Du an khoi cong moi nam 2010 2" xfId="5638"/>
    <cellStyle name="T_Book1_Du an khoi cong moi nam 2010_!1 1 bao cao giao KH ve HTCMT vung TNB   12-12-2011" xfId="5639"/>
    <cellStyle name="T_Book1_Du an khoi cong moi nam 2010_!1 1 bao cao giao KH ve HTCMT vung TNB   12-12-2011 2" xfId="5640"/>
    <cellStyle name="T_Book1_Du an khoi cong moi nam 2010_KH TPCP vung TNB (03-1-2012)" xfId="5641"/>
    <cellStyle name="T_Book1_Du an khoi cong moi nam 2010_KH TPCP vung TNB (03-1-2012) 2" xfId="5642"/>
    <cellStyle name="T_Book1_giao KH 2011 ngay 10-12-2010" xfId="5643"/>
    <cellStyle name="T_Book1_giao KH 2011 ngay 10-12-2010 2" xfId="5644"/>
    <cellStyle name="T_Book1_Hang Tom goi9 9-07(Cau 12 sua)" xfId="2140"/>
    <cellStyle name="T_Book1_Hang Tom goi9 9-07(Cau 12 sua) 2" xfId="2141"/>
    <cellStyle name="T_Book1_Ket qua phan bo von nam 2008" xfId="5645"/>
    <cellStyle name="T_Book1_Ket qua phan bo von nam 2008 2" xfId="5646"/>
    <cellStyle name="T_Book1_Ket qua phan bo von nam 2008_!1 1 bao cao giao KH ve HTCMT vung TNB   12-12-2011" xfId="5647"/>
    <cellStyle name="T_Book1_Ket qua phan bo von nam 2008_!1 1 bao cao giao KH ve HTCMT vung TNB   12-12-2011 2" xfId="5648"/>
    <cellStyle name="T_Book1_Ket qua phan bo von nam 2008_KH TPCP vung TNB (03-1-2012)" xfId="5649"/>
    <cellStyle name="T_Book1_Ket qua phan bo von nam 2008_KH TPCP vung TNB (03-1-2012) 2" xfId="5650"/>
    <cellStyle name="T_Book1_KH TPCP vung TNB (03-1-2012)" xfId="5653"/>
    <cellStyle name="T_Book1_KH TPCP vung TNB (03-1-2012) 2" xfId="5654"/>
    <cellStyle name="T_Book1_KH XDCB_2008 lan 2 sua ngay 10-11" xfId="5655"/>
    <cellStyle name="T_Book1_KH XDCB_2008 lan 2 sua ngay 10-11 2" xfId="5656"/>
    <cellStyle name="T_Book1_KH XDCB_2008 lan 2 sua ngay 10-11_!1 1 bao cao giao KH ve HTCMT vung TNB   12-12-2011" xfId="5657"/>
    <cellStyle name="T_Book1_KH XDCB_2008 lan 2 sua ngay 10-11_!1 1 bao cao giao KH ve HTCMT vung TNB   12-12-2011 2" xfId="5658"/>
    <cellStyle name="T_Book1_KH XDCB_2008 lan 2 sua ngay 10-11_KH TPCP vung TNB (03-1-2012)" xfId="5659"/>
    <cellStyle name="T_Book1_KH XDCB_2008 lan 2 sua ngay 10-11_KH TPCP vung TNB (03-1-2012) 2" xfId="5660"/>
    <cellStyle name="T_Book1_Khoi luong chinh Hang Tom" xfId="2142"/>
    <cellStyle name="T_Book1_Khoi luong chinh Hang Tom 2" xfId="2143"/>
    <cellStyle name="T_Book1_kien giang 2" xfId="5651"/>
    <cellStyle name="T_Book1_kien giang 2 2" xfId="5652"/>
    <cellStyle name="T_Book1_Luy ke von ung nam 2011 -Thoa gui ngay 12-8-2012" xfId="5661"/>
    <cellStyle name="T_Book1_Luy ke von ung nam 2011 -Thoa gui ngay 12-8-2012 2" xfId="5662"/>
    <cellStyle name="T_Book1_Luy ke von ung nam 2011 -Thoa gui ngay 12-8-2012_!1 1 bao cao giao KH ve HTCMT vung TNB   12-12-2011" xfId="5663"/>
    <cellStyle name="T_Book1_Luy ke von ung nam 2011 -Thoa gui ngay 12-8-2012_!1 1 bao cao giao KH ve HTCMT vung TNB   12-12-2011 2" xfId="5664"/>
    <cellStyle name="T_Book1_Luy ke von ung nam 2011 -Thoa gui ngay 12-8-2012_KH TPCP vung TNB (03-1-2012)" xfId="5665"/>
    <cellStyle name="T_Book1_Luy ke von ung nam 2011 -Thoa gui ngay 12-8-2012_KH TPCP vung TNB (03-1-2012) 2" xfId="5666"/>
    <cellStyle name="T_Book1_Nhu cau von ung truoc 2011 Tha h Hoa + Nge An gui TW" xfId="5667"/>
    <cellStyle name="T_Book1_Nhu cau von ung truoc 2011 Tha h Hoa + Nge An gui TW 2" xfId="5668"/>
    <cellStyle name="T_Book1_Nhu cau von ung truoc 2011 Tha h Hoa + Nge An gui TW_!1 1 bao cao giao KH ve HTCMT vung TNB   12-12-2011" xfId="5669"/>
    <cellStyle name="T_Book1_Nhu cau von ung truoc 2011 Tha h Hoa + Nge An gui TW_!1 1 bao cao giao KH ve HTCMT vung TNB   12-12-2011 2" xfId="5670"/>
    <cellStyle name="T_Book1_Nhu cau von ung truoc 2011 Tha h Hoa + Nge An gui TW_Bieu4HTMT" xfId="5671"/>
    <cellStyle name="T_Book1_Nhu cau von ung truoc 2011 Tha h Hoa + Nge An gui TW_Bieu4HTMT 2" xfId="5672"/>
    <cellStyle name="T_Book1_Nhu cau von ung truoc 2011 Tha h Hoa + Nge An gui TW_Bieu4HTMT_!1 1 bao cao giao KH ve HTCMT vung TNB   12-12-2011" xfId="5673"/>
    <cellStyle name="T_Book1_Nhu cau von ung truoc 2011 Tha h Hoa + Nge An gui TW_Bieu4HTMT_!1 1 bao cao giao KH ve HTCMT vung TNB   12-12-2011 2" xfId="5674"/>
    <cellStyle name="T_Book1_Nhu cau von ung truoc 2011 Tha h Hoa + Nge An gui TW_Bieu4HTMT_KH TPCP vung TNB (03-1-2012)" xfId="5675"/>
    <cellStyle name="T_Book1_Nhu cau von ung truoc 2011 Tha h Hoa + Nge An gui TW_Bieu4HTMT_KH TPCP vung TNB (03-1-2012) 2" xfId="5676"/>
    <cellStyle name="T_Book1_Nhu cau von ung truoc 2011 Tha h Hoa + Nge An gui TW_KH TPCP vung TNB (03-1-2012)" xfId="5677"/>
    <cellStyle name="T_Book1_Nhu cau von ung truoc 2011 Tha h Hoa + Nge An gui TW_KH TPCP vung TNB (03-1-2012) 2" xfId="5678"/>
    <cellStyle name="T_Book1_phu luc tong ket tinh hinh TH giai doan 03-10 (ngay 30)" xfId="5679"/>
    <cellStyle name="T_Book1_phu luc tong ket tinh hinh TH giai doan 03-10 (ngay 30) 2" xfId="5680"/>
    <cellStyle name="T_Book1_phu luc tong ket tinh hinh TH giai doan 03-10 (ngay 30)_!1 1 bao cao giao KH ve HTCMT vung TNB   12-12-2011" xfId="5681"/>
    <cellStyle name="T_Book1_phu luc tong ket tinh hinh TH giai doan 03-10 (ngay 30)_!1 1 bao cao giao KH ve HTCMT vung TNB   12-12-2011 2" xfId="5682"/>
    <cellStyle name="T_Book1_phu luc tong ket tinh hinh TH giai doan 03-10 (ngay 30)_KH TPCP vung TNB (03-1-2012)" xfId="5683"/>
    <cellStyle name="T_Book1_phu luc tong ket tinh hinh TH giai doan 03-10 (ngay 30)_KH TPCP vung TNB (03-1-2012) 2" xfId="5684"/>
    <cellStyle name="T_Book1_TH ung tren 70%-Ra soat phap ly-8-6 (dung de chuyen vao vu TH)" xfId="5693"/>
    <cellStyle name="T_Book1_TH ung tren 70%-Ra soat phap ly-8-6 (dung de chuyen vao vu TH) 2" xfId="5694"/>
    <cellStyle name="T_Book1_TH ung tren 70%-Ra soat phap ly-8-6 (dung de chuyen vao vu TH)_!1 1 bao cao giao KH ve HTCMT vung TNB   12-12-2011" xfId="5695"/>
    <cellStyle name="T_Book1_TH ung tren 70%-Ra soat phap ly-8-6 (dung de chuyen vao vu TH)_!1 1 bao cao giao KH ve HTCMT vung TNB   12-12-2011 2" xfId="5696"/>
    <cellStyle name="T_Book1_TH ung tren 70%-Ra soat phap ly-8-6 (dung de chuyen vao vu TH)_Bieu4HTMT" xfId="5697"/>
    <cellStyle name="T_Book1_TH ung tren 70%-Ra soat phap ly-8-6 (dung de chuyen vao vu TH)_Bieu4HTMT 2" xfId="5698"/>
    <cellStyle name="T_Book1_TH ung tren 70%-Ra soat phap ly-8-6 (dung de chuyen vao vu TH)_KH TPCP vung TNB (03-1-2012)" xfId="5699"/>
    <cellStyle name="T_Book1_TH ung tren 70%-Ra soat phap ly-8-6 (dung de chuyen vao vu TH)_KH TPCP vung TNB (03-1-2012) 2" xfId="5700"/>
    <cellStyle name="T_Book1_TH y kien LD_KH 2010 Ca Nuoc 22-9-2011-Gui ca Vu" xfId="5701"/>
    <cellStyle name="T_Book1_TH y kien LD_KH 2010 Ca Nuoc 22-9-2011-Gui ca Vu 2" xfId="5702"/>
    <cellStyle name="T_Book1_TH y kien LD_KH 2010 Ca Nuoc 22-9-2011-Gui ca Vu_!1 1 bao cao giao KH ve HTCMT vung TNB   12-12-2011" xfId="5703"/>
    <cellStyle name="T_Book1_TH y kien LD_KH 2010 Ca Nuoc 22-9-2011-Gui ca Vu_!1 1 bao cao giao KH ve HTCMT vung TNB   12-12-2011 2" xfId="5704"/>
    <cellStyle name="T_Book1_TH y kien LD_KH 2010 Ca Nuoc 22-9-2011-Gui ca Vu_Bieu4HTMT" xfId="5705"/>
    <cellStyle name="T_Book1_TH y kien LD_KH 2010 Ca Nuoc 22-9-2011-Gui ca Vu_Bieu4HTMT 2" xfId="5706"/>
    <cellStyle name="T_Book1_TH y kien LD_KH 2010 Ca Nuoc 22-9-2011-Gui ca Vu_KH TPCP vung TNB (03-1-2012)" xfId="5707"/>
    <cellStyle name="T_Book1_TH y kien LD_KH 2010 Ca Nuoc 22-9-2011-Gui ca Vu_KH TPCP vung TNB (03-1-2012) 2" xfId="5708"/>
    <cellStyle name="T_Book1_Thiet bi" xfId="5709"/>
    <cellStyle name="T_Book1_Thiet bi 2" xfId="5710"/>
    <cellStyle name="T_Book1_TN - Ho tro khac 2011" xfId="5685"/>
    <cellStyle name="T_Book1_TN - Ho tro khac 2011 2" xfId="5686"/>
    <cellStyle name="T_Book1_TN - Ho tro khac 2011_!1 1 bao cao giao KH ve HTCMT vung TNB   12-12-2011" xfId="5687"/>
    <cellStyle name="T_Book1_TN - Ho tro khac 2011_!1 1 bao cao giao KH ve HTCMT vung TNB   12-12-2011 2" xfId="5688"/>
    <cellStyle name="T_Book1_TN - Ho tro khac 2011_Bieu4HTMT" xfId="5689"/>
    <cellStyle name="T_Book1_TN - Ho tro khac 2011_Bieu4HTMT 2" xfId="5690"/>
    <cellStyle name="T_Book1_TN - Ho tro khac 2011_KH TPCP vung TNB (03-1-2012)" xfId="5691"/>
    <cellStyle name="T_Book1_TN - Ho tro khac 2011_KH TPCP vung TNB (03-1-2012) 2" xfId="5692"/>
    <cellStyle name="T_Book1_ung truoc 2011 NSTW Thanh Hoa + Nge An gui Thu 12-5" xfId="5711"/>
    <cellStyle name="T_Book1_ung truoc 2011 NSTW Thanh Hoa + Nge An gui Thu 12-5 2" xfId="5712"/>
    <cellStyle name="T_Book1_ung truoc 2011 NSTW Thanh Hoa + Nge An gui Thu 12-5_!1 1 bao cao giao KH ve HTCMT vung TNB   12-12-2011" xfId="5713"/>
    <cellStyle name="T_Book1_ung truoc 2011 NSTW Thanh Hoa + Nge An gui Thu 12-5_!1 1 bao cao giao KH ve HTCMT vung TNB   12-12-2011 2" xfId="5714"/>
    <cellStyle name="T_Book1_ung truoc 2011 NSTW Thanh Hoa + Nge An gui Thu 12-5_Bieu4HTMT" xfId="5715"/>
    <cellStyle name="T_Book1_ung truoc 2011 NSTW Thanh Hoa + Nge An gui Thu 12-5_Bieu4HTMT 2" xfId="5716"/>
    <cellStyle name="T_Book1_ung truoc 2011 NSTW Thanh Hoa + Nge An gui Thu 12-5_Bieu4HTMT_!1 1 bao cao giao KH ve HTCMT vung TNB   12-12-2011" xfId="5717"/>
    <cellStyle name="T_Book1_ung truoc 2011 NSTW Thanh Hoa + Nge An gui Thu 12-5_Bieu4HTMT_!1 1 bao cao giao KH ve HTCMT vung TNB   12-12-2011 2" xfId="5718"/>
    <cellStyle name="T_Book1_ung truoc 2011 NSTW Thanh Hoa + Nge An gui Thu 12-5_Bieu4HTMT_KH TPCP vung TNB (03-1-2012)" xfId="5719"/>
    <cellStyle name="T_Book1_ung truoc 2011 NSTW Thanh Hoa + Nge An gui Thu 12-5_Bieu4HTMT_KH TPCP vung TNB (03-1-2012) 2" xfId="5720"/>
    <cellStyle name="T_Book1_ung truoc 2011 NSTW Thanh Hoa + Nge An gui Thu 12-5_KH TPCP vung TNB (03-1-2012)" xfId="5721"/>
    <cellStyle name="T_Book1_ung truoc 2011 NSTW Thanh Hoa + Nge An gui Thu 12-5_KH TPCP vung TNB (03-1-2012) 2" xfId="5722"/>
    <cellStyle name="T_Book1_ÿÿÿÿÿ" xfId="5723"/>
    <cellStyle name="T_Book1_ÿÿÿÿÿ 2" xfId="5724"/>
    <cellStyle name="T_Chuan bi dau tu nam 2008" xfId="5785"/>
    <cellStyle name="T_Chuan bi dau tu nam 2008 2" xfId="5786"/>
    <cellStyle name="T_Chuan bi dau tu nam 2008_!1 1 bao cao giao KH ve HTCMT vung TNB   12-12-2011" xfId="5787"/>
    <cellStyle name="T_Chuan bi dau tu nam 2008_!1 1 bao cao giao KH ve HTCMT vung TNB   12-12-2011 2" xfId="5788"/>
    <cellStyle name="T_Chuan bi dau tu nam 2008_KH TPCP vung TNB (03-1-2012)" xfId="5789"/>
    <cellStyle name="T_Chuan bi dau tu nam 2008_KH TPCP vung TNB (03-1-2012) 2" xfId="5790"/>
    <cellStyle name="T_Copy of Bao cao  XDCB 7 thang nam 2008_So KH&amp;DT SUA" xfId="5725"/>
    <cellStyle name="T_Copy of Bao cao  XDCB 7 thang nam 2008_So KH&amp;DT SUA 2" xfId="5726"/>
    <cellStyle name="T_Copy of Bao cao  XDCB 7 thang nam 2008_So KH&amp;DT SUA_!1 1 bao cao giao KH ve HTCMT vung TNB   12-12-2011" xfId="5727"/>
    <cellStyle name="T_Copy of Bao cao  XDCB 7 thang nam 2008_So KH&amp;DT SUA_!1 1 bao cao giao KH ve HTCMT vung TNB   12-12-2011 2" xfId="5728"/>
    <cellStyle name="T_Copy of Bao cao  XDCB 7 thang nam 2008_So KH&amp;DT SUA_KH TPCP vung TNB (03-1-2012)" xfId="5729"/>
    <cellStyle name="T_Copy of Bao cao  XDCB 7 thang nam 2008_So KH&amp;DT SUA_KH TPCP vung TNB (03-1-2012) 2" xfId="5730"/>
    <cellStyle name="T_CPK" xfId="5731"/>
    <cellStyle name="T_CPK 2" xfId="5732"/>
    <cellStyle name="T_CPK_!1 1 bao cao giao KH ve HTCMT vung TNB   12-12-2011" xfId="5733"/>
    <cellStyle name="T_CPK_!1 1 bao cao giao KH ve HTCMT vung TNB   12-12-2011 2" xfId="5734"/>
    <cellStyle name="T_CPK_Bieu4HTMT" xfId="5735"/>
    <cellStyle name="T_CPK_Bieu4HTMT 2" xfId="5736"/>
    <cellStyle name="T_CPK_Bieu4HTMT_!1 1 bao cao giao KH ve HTCMT vung TNB   12-12-2011" xfId="5737"/>
    <cellStyle name="T_CPK_Bieu4HTMT_!1 1 bao cao giao KH ve HTCMT vung TNB   12-12-2011 2" xfId="5738"/>
    <cellStyle name="T_CPK_Bieu4HTMT_KH TPCP vung TNB (03-1-2012)" xfId="5739"/>
    <cellStyle name="T_CPK_Bieu4HTMT_KH TPCP vung TNB (03-1-2012) 2" xfId="5740"/>
    <cellStyle name="T_CPK_KH TPCP vung TNB (03-1-2012)" xfId="5741"/>
    <cellStyle name="T_CPK_KH TPCP vung TNB (03-1-2012) 2" xfId="5742"/>
    <cellStyle name="T_CTMTQG 2008" xfId="5743"/>
    <cellStyle name="T_CTMTQG 2008 2" xfId="5744"/>
    <cellStyle name="T_CTMTQG 2008_!1 1 bao cao giao KH ve HTCMT vung TNB   12-12-2011" xfId="5745"/>
    <cellStyle name="T_CTMTQG 2008_!1 1 bao cao giao KH ve HTCMT vung TNB   12-12-2011 2" xfId="5746"/>
    <cellStyle name="T_CTMTQG 2008_Bieu mau danh muc du an thuoc CTMTQG nam 2008" xfId="5747"/>
    <cellStyle name="T_CTMTQG 2008_Bieu mau danh muc du an thuoc CTMTQG nam 2008 2" xfId="5748"/>
    <cellStyle name="T_CTMTQG 2008_Bieu mau danh muc du an thuoc CTMTQG nam 2008_!1 1 bao cao giao KH ve HTCMT vung TNB   12-12-2011" xfId="5749"/>
    <cellStyle name="T_CTMTQG 2008_Bieu mau danh muc du an thuoc CTMTQG nam 2008_!1 1 bao cao giao KH ve HTCMT vung TNB   12-12-2011 2" xfId="5750"/>
    <cellStyle name="T_CTMTQG 2008_Bieu mau danh muc du an thuoc CTMTQG nam 2008_KH TPCP vung TNB (03-1-2012)" xfId="5751"/>
    <cellStyle name="T_CTMTQG 2008_Bieu mau danh muc du an thuoc CTMTQG nam 2008_KH TPCP vung TNB (03-1-2012) 2" xfId="5752"/>
    <cellStyle name="T_CTMTQG 2008_Hi-Tong hop KQ phan bo KH nam 08- LD fong giao 15-11-08" xfId="5753"/>
    <cellStyle name="T_CTMTQG 2008_Hi-Tong hop KQ phan bo KH nam 08- LD fong giao 15-11-08 2" xfId="5754"/>
    <cellStyle name="T_CTMTQG 2008_Hi-Tong hop KQ phan bo KH nam 08- LD fong giao 15-11-08_!1 1 bao cao giao KH ve HTCMT vung TNB   12-12-2011" xfId="5755"/>
    <cellStyle name="T_CTMTQG 2008_Hi-Tong hop KQ phan bo KH nam 08- LD fong giao 15-11-08_!1 1 bao cao giao KH ve HTCMT vung TNB   12-12-2011 2" xfId="5756"/>
    <cellStyle name="T_CTMTQG 2008_Hi-Tong hop KQ phan bo KH nam 08- LD fong giao 15-11-08_KH TPCP vung TNB (03-1-2012)" xfId="5757"/>
    <cellStyle name="T_CTMTQG 2008_Hi-Tong hop KQ phan bo KH nam 08- LD fong giao 15-11-08_KH TPCP vung TNB (03-1-2012) 2" xfId="5758"/>
    <cellStyle name="T_CTMTQG 2008_Ket qua thuc hien nam 2008" xfId="5759"/>
    <cellStyle name="T_CTMTQG 2008_Ket qua thuc hien nam 2008 2" xfId="5760"/>
    <cellStyle name="T_CTMTQG 2008_Ket qua thuc hien nam 2008_!1 1 bao cao giao KH ve HTCMT vung TNB   12-12-2011" xfId="5761"/>
    <cellStyle name="T_CTMTQG 2008_Ket qua thuc hien nam 2008_!1 1 bao cao giao KH ve HTCMT vung TNB   12-12-2011 2" xfId="5762"/>
    <cellStyle name="T_CTMTQG 2008_Ket qua thuc hien nam 2008_KH TPCP vung TNB (03-1-2012)" xfId="5763"/>
    <cellStyle name="T_CTMTQG 2008_Ket qua thuc hien nam 2008_KH TPCP vung TNB (03-1-2012) 2" xfId="5764"/>
    <cellStyle name="T_CTMTQG 2008_KH TPCP vung TNB (03-1-2012)" xfId="5765"/>
    <cellStyle name="T_CTMTQG 2008_KH TPCP vung TNB (03-1-2012) 2" xfId="5766"/>
    <cellStyle name="T_CTMTQG 2008_KH XDCB_2008 lan 1" xfId="5767"/>
    <cellStyle name="T_CTMTQG 2008_KH XDCB_2008 lan 1 2" xfId="5768"/>
    <cellStyle name="T_CTMTQG 2008_KH XDCB_2008 lan 1 sua ngay 27-10" xfId="5769"/>
    <cellStyle name="T_CTMTQG 2008_KH XDCB_2008 lan 1 sua ngay 27-10 2" xfId="5770"/>
    <cellStyle name="T_CTMTQG 2008_KH XDCB_2008 lan 1 sua ngay 27-10_!1 1 bao cao giao KH ve HTCMT vung TNB   12-12-2011" xfId="5771"/>
    <cellStyle name="T_CTMTQG 2008_KH XDCB_2008 lan 1 sua ngay 27-10_!1 1 bao cao giao KH ve HTCMT vung TNB   12-12-2011 2" xfId="5772"/>
    <cellStyle name="T_CTMTQG 2008_KH XDCB_2008 lan 1 sua ngay 27-10_KH TPCP vung TNB (03-1-2012)" xfId="5773"/>
    <cellStyle name="T_CTMTQG 2008_KH XDCB_2008 lan 1 sua ngay 27-10_KH TPCP vung TNB (03-1-2012) 2" xfId="5774"/>
    <cellStyle name="T_CTMTQG 2008_KH XDCB_2008 lan 1_!1 1 bao cao giao KH ve HTCMT vung TNB   12-12-2011" xfId="5775"/>
    <cellStyle name="T_CTMTQG 2008_KH XDCB_2008 lan 1_!1 1 bao cao giao KH ve HTCMT vung TNB   12-12-2011 2" xfId="5776"/>
    <cellStyle name="T_CTMTQG 2008_KH XDCB_2008 lan 1_KH TPCP vung TNB (03-1-2012)" xfId="5777"/>
    <cellStyle name="T_CTMTQG 2008_KH XDCB_2008 lan 1_KH TPCP vung TNB (03-1-2012) 2" xfId="5778"/>
    <cellStyle name="T_CTMTQG 2008_KH XDCB_2008 lan 2 sua ngay 10-11" xfId="5779"/>
    <cellStyle name="T_CTMTQG 2008_KH XDCB_2008 lan 2 sua ngay 10-11 2" xfId="5780"/>
    <cellStyle name="T_CTMTQG 2008_KH XDCB_2008 lan 2 sua ngay 10-11_!1 1 bao cao giao KH ve HTCMT vung TNB   12-12-2011" xfId="5781"/>
    <cellStyle name="T_CTMTQG 2008_KH XDCB_2008 lan 2 sua ngay 10-11_!1 1 bao cao giao KH ve HTCMT vung TNB   12-12-2011 2" xfId="5782"/>
    <cellStyle name="T_CTMTQG 2008_KH XDCB_2008 lan 2 sua ngay 10-11_KH TPCP vung TNB (03-1-2012)" xfId="5783"/>
    <cellStyle name="T_CTMTQG 2008_KH XDCB_2008 lan 2 sua ngay 10-11_KH TPCP vung TNB (03-1-2012) 2" xfId="5784"/>
    <cellStyle name="T_danh muc chuan bi dau tu 2011 ngay 07-6-2011" xfId="5791"/>
    <cellStyle name="T_danh muc chuan bi dau tu 2011 ngay 07-6-2011 2" xfId="5792"/>
    <cellStyle name="T_danh muc chuan bi dau tu 2011 ngay 07-6-2011_!1 1 bao cao giao KH ve HTCMT vung TNB   12-12-2011" xfId="5793"/>
    <cellStyle name="T_danh muc chuan bi dau tu 2011 ngay 07-6-2011_!1 1 bao cao giao KH ve HTCMT vung TNB   12-12-2011 2" xfId="5794"/>
    <cellStyle name="T_danh muc chuan bi dau tu 2011 ngay 07-6-2011_KH TPCP vung TNB (03-1-2012)" xfId="5795"/>
    <cellStyle name="T_danh muc chuan bi dau tu 2011 ngay 07-6-2011_KH TPCP vung TNB (03-1-2012) 2" xfId="5796"/>
    <cellStyle name="T_Danh muc pbo nguon von XSKT, XDCB nam 2009 chuyen qua nam 2010" xfId="5797"/>
    <cellStyle name="T_Danh muc pbo nguon von XSKT, XDCB nam 2009 chuyen qua nam 2010 2" xfId="5798"/>
    <cellStyle name="T_Danh muc pbo nguon von XSKT, XDCB nam 2009 chuyen qua nam 2010_!1 1 bao cao giao KH ve HTCMT vung TNB   12-12-2011" xfId="5799"/>
    <cellStyle name="T_Danh muc pbo nguon von XSKT, XDCB nam 2009 chuyen qua nam 2010_!1 1 bao cao giao KH ve HTCMT vung TNB   12-12-2011 2" xfId="5800"/>
    <cellStyle name="T_Danh muc pbo nguon von XSKT, XDCB nam 2009 chuyen qua nam 2010_KH TPCP vung TNB (03-1-2012)" xfId="5801"/>
    <cellStyle name="T_Danh muc pbo nguon von XSKT, XDCB nam 2009 chuyen qua nam 2010_KH TPCP vung TNB (03-1-2012) 2" xfId="5802"/>
    <cellStyle name="T_dieu chinh KH 2011 ngay 26-5-2011111" xfId="5803"/>
    <cellStyle name="T_dieu chinh KH 2011 ngay 26-5-2011111 2" xfId="5804"/>
    <cellStyle name="T_dieu chinh KH 2011 ngay 26-5-2011111_!1 1 bao cao giao KH ve HTCMT vung TNB   12-12-2011" xfId="5805"/>
    <cellStyle name="T_dieu chinh KH 2011 ngay 26-5-2011111_!1 1 bao cao giao KH ve HTCMT vung TNB   12-12-2011 2" xfId="5806"/>
    <cellStyle name="T_dieu chinh KH 2011 ngay 26-5-2011111_KH TPCP vung TNB (03-1-2012)" xfId="5807"/>
    <cellStyle name="T_dieu chinh KH 2011 ngay 26-5-2011111_KH TPCP vung TNB (03-1-2012) 2" xfId="5808"/>
    <cellStyle name="T_DK 2014-2015 final" xfId="5809"/>
    <cellStyle name="T_DK 2014-2015 final_05-12  KH trung han 2016-2020 - Liem Thinh edited" xfId="5810"/>
    <cellStyle name="T_DK 2014-2015 final_Copy of 05-12  KH trung han 2016-2020 - Liem Thinh edited (1)" xfId="5811"/>
    <cellStyle name="T_DK 2014-2015 new" xfId="5812"/>
    <cellStyle name="T_DK 2014-2015 new_05-12  KH trung han 2016-2020 - Liem Thinh edited" xfId="5813"/>
    <cellStyle name="T_DK 2014-2015 new_Copy of 05-12  KH trung han 2016-2020 - Liem Thinh edited (1)" xfId="5814"/>
    <cellStyle name="T_DK KH CBDT 2014 11-11-2013" xfId="5815"/>
    <cellStyle name="T_DK KH CBDT 2014 11-11-2013(1)" xfId="5816"/>
    <cellStyle name="T_DK KH CBDT 2014 11-11-2013(1)_05-12  KH trung han 2016-2020 - Liem Thinh edited" xfId="5817"/>
    <cellStyle name="T_DK KH CBDT 2014 11-11-2013(1)_Copy of 05-12  KH trung han 2016-2020 - Liem Thinh edited (1)" xfId="5818"/>
    <cellStyle name="T_DK KH CBDT 2014 11-11-2013_05-12  KH trung han 2016-2020 - Liem Thinh edited" xfId="5819"/>
    <cellStyle name="T_DK KH CBDT 2014 11-11-2013_Copy of 05-12  KH trung han 2016-2020 - Liem Thinh edited (1)" xfId="5820"/>
    <cellStyle name="T_DS KCH PHAN BO VON NSDP NAM 2010" xfId="5821"/>
    <cellStyle name="T_DS KCH PHAN BO VON NSDP NAM 2010 2" xfId="5822"/>
    <cellStyle name="T_DS KCH PHAN BO VON NSDP NAM 2010_!1 1 bao cao giao KH ve HTCMT vung TNB   12-12-2011" xfId="5823"/>
    <cellStyle name="T_DS KCH PHAN BO VON NSDP NAM 2010_!1 1 bao cao giao KH ve HTCMT vung TNB   12-12-2011 2" xfId="5824"/>
    <cellStyle name="T_DS KCH PHAN BO VON NSDP NAM 2010_KH TPCP vung TNB (03-1-2012)" xfId="5825"/>
    <cellStyle name="T_DS KCH PHAN BO VON NSDP NAM 2010_KH TPCP vung TNB (03-1-2012) 2" xfId="5826"/>
    <cellStyle name="T_Du an khoi cong moi nam 2010" xfId="5827"/>
    <cellStyle name="T_Du an khoi cong moi nam 2010 2" xfId="5828"/>
    <cellStyle name="T_Du an khoi cong moi nam 2010_!1 1 bao cao giao KH ve HTCMT vung TNB   12-12-2011" xfId="5829"/>
    <cellStyle name="T_Du an khoi cong moi nam 2010_!1 1 bao cao giao KH ve HTCMT vung TNB   12-12-2011 2" xfId="5830"/>
    <cellStyle name="T_Du an khoi cong moi nam 2010_KH TPCP vung TNB (03-1-2012)" xfId="5831"/>
    <cellStyle name="T_Du an khoi cong moi nam 2010_KH TPCP vung TNB (03-1-2012) 2" xfId="5832"/>
    <cellStyle name="T_DU AN TKQH VA CHUAN BI DAU TU NAM 2007 sua ngay 9-11" xfId="5833"/>
    <cellStyle name="T_DU AN TKQH VA CHUAN BI DAU TU NAM 2007 sua ngay 9-11 2" xfId="5834"/>
    <cellStyle name="T_DU AN TKQH VA CHUAN BI DAU TU NAM 2007 sua ngay 9-11_!1 1 bao cao giao KH ve HTCMT vung TNB   12-12-2011" xfId="5835"/>
    <cellStyle name="T_DU AN TKQH VA CHUAN BI DAU TU NAM 2007 sua ngay 9-11_!1 1 bao cao giao KH ve HTCMT vung TNB   12-12-2011 2" xfId="5836"/>
    <cellStyle name="T_DU AN TKQH VA CHUAN BI DAU TU NAM 2007 sua ngay 9-11_Bieu mau danh muc du an thuoc CTMTQG nam 2008" xfId="5837"/>
    <cellStyle name="T_DU AN TKQH VA CHUAN BI DAU TU NAM 2007 sua ngay 9-11_Bieu mau danh muc du an thuoc CTMTQG nam 2008 2" xfId="5838"/>
    <cellStyle name="T_DU AN TKQH VA CHUAN BI DAU TU NAM 2007 sua ngay 9-11_Bieu mau danh muc du an thuoc CTMTQG nam 2008_!1 1 bao cao giao KH ve HTCMT vung TNB   12-12-2011" xfId="5839"/>
    <cellStyle name="T_DU AN TKQH VA CHUAN BI DAU TU NAM 2007 sua ngay 9-11_Bieu mau danh muc du an thuoc CTMTQG nam 2008_!1 1 bao cao giao KH ve HTCMT vung TNB   12-12-2011 2" xfId="5840"/>
    <cellStyle name="T_DU AN TKQH VA CHUAN BI DAU TU NAM 2007 sua ngay 9-11_Bieu mau danh muc du an thuoc CTMTQG nam 2008_KH TPCP vung TNB (03-1-2012)" xfId="5841"/>
    <cellStyle name="T_DU AN TKQH VA CHUAN BI DAU TU NAM 2007 sua ngay 9-11_Bieu mau danh muc du an thuoc CTMTQG nam 2008_KH TPCP vung TNB (03-1-2012) 2" xfId="5842"/>
    <cellStyle name="T_DU AN TKQH VA CHUAN BI DAU TU NAM 2007 sua ngay 9-11_Du an khoi cong moi nam 2010" xfId="5843"/>
    <cellStyle name="T_DU AN TKQH VA CHUAN BI DAU TU NAM 2007 sua ngay 9-11_Du an khoi cong moi nam 2010 2" xfId="5844"/>
    <cellStyle name="T_DU AN TKQH VA CHUAN BI DAU TU NAM 2007 sua ngay 9-11_Du an khoi cong moi nam 2010_!1 1 bao cao giao KH ve HTCMT vung TNB   12-12-2011" xfId="5845"/>
    <cellStyle name="T_DU AN TKQH VA CHUAN BI DAU TU NAM 2007 sua ngay 9-11_Du an khoi cong moi nam 2010_!1 1 bao cao giao KH ve HTCMT vung TNB   12-12-2011 2" xfId="5846"/>
    <cellStyle name="T_DU AN TKQH VA CHUAN BI DAU TU NAM 2007 sua ngay 9-11_Du an khoi cong moi nam 2010_KH TPCP vung TNB (03-1-2012)" xfId="5847"/>
    <cellStyle name="T_DU AN TKQH VA CHUAN BI DAU TU NAM 2007 sua ngay 9-11_Du an khoi cong moi nam 2010_KH TPCP vung TNB (03-1-2012) 2" xfId="5848"/>
    <cellStyle name="T_DU AN TKQH VA CHUAN BI DAU TU NAM 2007 sua ngay 9-11_Ket qua phan bo von nam 2008" xfId="5849"/>
    <cellStyle name="T_DU AN TKQH VA CHUAN BI DAU TU NAM 2007 sua ngay 9-11_Ket qua phan bo von nam 2008 2" xfId="5850"/>
    <cellStyle name="T_DU AN TKQH VA CHUAN BI DAU TU NAM 2007 sua ngay 9-11_Ket qua phan bo von nam 2008_!1 1 bao cao giao KH ve HTCMT vung TNB   12-12-2011" xfId="5851"/>
    <cellStyle name="T_DU AN TKQH VA CHUAN BI DAU TU NAM 2007 sua ngay 9-11_Ket qua phan bo von nam 2008_!1 1 bao cao giao KH ve HTCMT vung TNB   12-12-2011 2" xfId="5852"/>
    <cellStyle name="T_DU AN TKQH VA CHUAN BI DAU TU NAM 2007 sua ngay 9-11_Ket qua phan bo von nam 2008_KH TPCP vung TNB (03-1-2012)" xfId="5853"/>
    <cellStyle name="T_DU AN TKQH VA CHUAN BI DAU TU NAM 2007 sua ngay 9-11_Ket qua phan bo von nam 2008_KH TPCP vung TNB (03-1-2012) 2" xfId="5854"/>
    <cellStyle name="T_DU AN TKQH VA CHUAN BI DAU TU NAM 2007 sua ngay 9-11_KH TPCP vung TNB (03-1-2012)" xfId="5855"/>
    <cellStyle name="T_DU AN TKQH VA CHUAN BI DAU TU NAM 2007 sua ngay 9-11_KH TPCP vung TNB (03-1-2012) 2" xfId="5856"/>
    <cellStyle name="T_DU AN TKQH VA CHUAN BI DAU TU NAM 2007 sua ngay 9-11_KH XDCB_2008 lan 2 sua ngay 10-11" xfId="5857"/>
    <cellStyle name="T_DU AN TKQH VA CHUAN BI DAU TU NAM 2007 sua ngay 9-11_KH XDCB_2008 lan 2 sua ngay 10-11 2" xfId="5858"/>
    <cellStyle name="T_DU AN TKQH VA CHUAN BI DAU TU NAM 2007 sua ngay 9-11_KH XDCB_2008 lan 2 sua ngay 10-11_!1 1 bao cao giao KH ve HTCMT vung TNB   12-12-2011" xfId="5859"/>
    <cellStyle name="T_DU AN TKQH VA CHUAN BI DAU TU NAM 2007 sua ngay 9-11_KH XDCB_2008 lan 2 sua ngay 10-11_!1 1 bao cao giao KH ve HTCMT vung TNB   12-12-2011 2" xfId="5860"/>
    <cellStyle name="T_DU AN TKQH VA CHUAN BI DAU TU NAM 2007 sua ngay 9-11_KH XDCB_2008 lan 2 sua ngay 10-11_KH TPCP vung TNB (03-1-2012)" xfId="5861"/>
    <cellStyle name="T_DU AN TKQH VA CHUAN BI DAU TU NAM 2007 sua ngay 9-11_KH XDCB_2008 lan 2 sua ngay 10-11_KH TPCP vung TNB (03-1-2012) 2" xfId="5862"/>
    <cellStyle name="T_du toan dieu chinh  20-8-2006" xfId="2144"/>
    <cellStyle name="T_du toan dieu chinh  20-8-2006 2" xfId="2145"/>
    <cellStyle name="T_du toan dieu chinh  20-8-2006_!1 1 bao cao giao KH ve HTCMT vung TNB   12-12-2011" xfId="5863"/>
    <cellStyle name="T_du toan dieu chinh  20-8-2006_!1 1 bao cao giao KH ve HTCMT vung TNB   12-12-2011 2" xfId="5864"/>
    <cellStyle name="T_du toan dieu chinh  20-8-2006_Bieu4HTMT" xfId="5865"/>
    <cellStyle name="T_du toan dieu chinh  20-8-2006_Bieu4HTMT 2" xfId="5866"/>
    <cellStyle name="T_du toan dieu chinh  20-8-2006_Bieu4HTMT_!1 1 bao cao giao KH ve HTCMT vung TNB   12-12-2011" xfId="5867"/>
    <cellStyle name="T_du toan dieu chinh  20-8-2006_Bieu4HTMT_!1 1 bao cao giao KH ve HTCMT vung TNB   12-12-2011 2" xfId="5868"/>
    <cellStyle name="T_du toan dieu chinh  20-8-2006_Bieu4HTMT_KH TPCP vung TNB (03-1-2012)" xfId="5869"/>
    <cellStyle name="T_du toan dieu chinh  20-8-2006_Bieu4HTMT_KH TPCP vung TNB (03-1-2012) 2" xfId="5870"/>
    <cellStyle name="T_du toan dieu chinh  20-8-2006_KH TPCP vung TNB (03-1-2012)" xfId="5871"/>
    <cellStyle name="T_du toan dieu chinh  20-8-2006_KH TPCP vung TNB (03-1-2012) 2" xfId="5872"/>
    <cellStyle name="T_giao KH 2011 ngay 10-12-2010" xfId="5873"/>
    <cellStyle name="T_giao KH 2011 ngay 10-12-2010 2" xfId="5874"/>
    <cellStyle name="T_giao KH 2011 ngay 10-12-2010_!1 1 bao cao giao KH ve HTCMT vung TNB   12-12-2011" xfId="5875"/>
    <cellStyle name="T_giao KH 2011 ngay 10-12-2010_!1 1 bao cao giao KH ve HTCMT vung TNB   12-12-2011 2" xfId="5876"/>
    <cellStyle name="T_giao KH 2011 ngay 10-12-2010_KH TPCP vung TNB (03-1-2012)" xfId="5877"/>
    <cellStyle name="T_giao KH 2011 ngay 10-12-2010_KH TPCP vung TNB (03-1-2012) 2" xfId="5878"/>
    <cellStyle name="T_Ht-PTq1-03" xfId="5879"/>
    <cellStyle name="T_Ht-PTq1-03 2" xfId="5880"/>
    <cellStyle name="T_Ht-PTq1-03_!1 1 bao cao giao KH ve HTCMT vung TNB   12-12-2011" xfId="5881"/>
    <cellStyle name="T_Ht-PTq1-03_!1 1 bao cao giao KH ve HTCMT vung TNB   12-12-2011 2" xfId="5882"/>
    <cellStyle name="T_Ht-PTq1-03_kien giang 2" xfId="5883"/>
    <cellStyle name="T_Ht-PTq1-03_kien giang 2 2" xfId="5884"/>
    <cellStyle name="T_Ke hoach KTXH  nam 2009_PKT thang 11 nam 2008" xfId="5885"/>
    <cellStyle name="T_Ke hoach KTXH  nam 2009_PKT thang 11 nam 2008 2" xfId="5886"/>
    <cellStyle name="T_Ke hoach KTXH  nam 2009_PKT thang 11 nam 2008_!1 1 bao cao giao KH ve HTCMT vung TNB   12-12-2011" xfId="5887"/>
    <cellStyle name="T_Ke hoach KTXH  nam 2009_PKT thang 11 nam 2008_!1 1 bao cao giao KH ve HTCMT vung TNB   12-12-2011 2" xfId="5888"/>
    <cellStyle name="T_Ke hoach KTXH  nam 2009_PKT thang 11 nam 2008_KH TPCP vung TNB (03-1-2012)" xfId="5889"/>
    <cellStyle name="T_Ke hoach KTXH  nam 2009_PKT thang 11 nam 2008_KH TPCP vung TNB (03-1-2012) 2" xfId="5890"/>
    <cellStyle name="T_Ket qua dau thau" xfId="5891"/>
    <cellStyle name="T_Ket qua dau thau 2" xfId="5892"/>
    <cellStyle name="T_Ket qua dau thau_!1 1 bao cao giao KH ve HTCMT vung TNB   12-12-2011" xfId="5893"/>
    <cellStyle name="T_Ket qua dau thau_!1 1 bao cao giao KH ve HTCMT vung TNB   12-12-2011 2" xfId="5894"/>
    <cellStyle name="T_Ket qua dau thau_KH TPCP vung TNB (03-1-2012)" xfId="5895"/>
    <cellStyle name="T_Ket qua dau thau_KH TPCP vung TNB (03-1-2012) 2" xfId="5896"/>
    <cellStyle name="T_Ket qua phan bo von nam 2008" xfId="5897"/>
    <cellStyle name="T_Ket qua phan bo von nam 2008 2" xfId="5898"/>
    <cellStyle name="T_Ket qua phan bo von nam 2008_!1 1 bao cao giao KH ve HTCMT vung TNB   12-12-2011" xfId="5899"/>
    <cellStyle name="T_Ket qua phan bo von nam 2008_!1 1 bao cao giao KH ve HTCMT vung TNB   12-12-2011 2" xfId="5900"/>
    <cellStyle name="T_Ket qua phan bo von nam 2008_KH TPCP vung TNB (03-1-2012)" xfId="5901"/>
    <cellStyle name="T_Ket qua phan bo von nam 2008_KH TPCP vung TNB (03-1-2012) 2" xfId="5902"/>
    <cellStyle name="T_KH 2011-2015" xfId="5905"/>
    <cellStyle name="T_KH TPCP vung TNB (03-1-2012)" xfId="5906"/>
    <cellStyle name="T_KH TPCP vung TNB (03-1-2012) 2" xfId="5907"/>
    <cellStyle name="T_KH XDCB_2008 lan 2 sua ngay 10-11" xfId="5908"/>
    <cellStyle name="T_KH XDCB_2008 lan 2 sua ngay 10-11 2" xfId="5909"/>
    <cellStyle name="T_KH XDCB_2008 lan 2 sua ngay 10-11_!1 1 bao cao giao KH ve HTCMT vung TNB   12-12-2011" xfId="5910"/>
    <cellStyle name="T_KH XDCB_2008 lan 2 sua ngay 10-11_!1 1 bao cao giao KH ve HTCMT vung TNB   12-12-2011 2" xfId="5911"/>
    <cellStyle name="T_KH XDCB_2008 lan 2 sua ngay 10-11_KH TPCP vung TNB (03-1-2012)" xfId="5912"/>
    <cellStyle name="T_KH XDCB_2008 lan 2 sua ngay 10-11_KH TPCP vung TNB (03-1-2012) 2" xfId="5913"/>
    <cellStyle name="T_kien giang 2" xfId="5903"/>
    <cellStyle name="T_kien giang 2 2" xfId="5904"/>
    <cellStyle name="T_Me_Tri_6_07" xfId="2146"/>
    <cellStyle name="T_Me_Tri_6_07 2" xfId="2147"/>
    <cellStyle name="T_Me_Tri_6_07_!1 1 bao cao giao KH ve HTCMT vung TNB   12-12-2011" xfId="5914"/>
    <cellStyle name="T_Me_Tri_6_07_!1 1 bao cao giao KH ve HTCMT vung TNB   12-12-2011 2" xfId="5915"/>
    <cellStyle name="T_Me_Tri_6_07_Bieu4HTMT" xfId="5916"/>
    <cellStyle name="T_Me_Tri_6_07_Bieu4HTMT 2" xfId="5917"/>
    <cellStyle name="T_Me_Tri_6_07_Bieu4HTMT_!1 1 bao cao giao KH ve HTCMT vung TNB   12-12-2011" xfId="5918"/>
    <cellStyle name="T_Me_Tri_6_07_Bieu4HTMT_!1 1 bao cao giao KH ve HTCMT vung TNB   12-12-2011 2" xfId="5919"/>
    <cellStyle name="T_Me_Tri_6_07_Bieu4HTMT_KH TPCP vung TNB (03-1-2012)" xfId="5920"/>
    <cellStyle name="T_Me_Tri_6_07_Bieu4HTMT_KH TPCP vung TNB (03-1-2012) 2" xfId="5921"/>
    <cellStyle name="T_Me_Tri_6_07_KH TPCP vung TNB (03-1-2012)" xfId="5922"/>
    <cellStyle name="T_Me_Tri_6_07_KH TPCP vung TNB (03-1-2012) 2" xfId="5923"/>
    <cellStyle name="T_N2 thay dat (N1-1)" xfId="2148"/>
    <cellStyle name="T_N2 thay dat (N1-1) 2" xfId="2149"/>
    <cellStyle name="T_N2 thay dat (N1-1)_!1 1 bao cao giao KH ve HTCMT vung TNB   12-12-2011" xfId="5924"/>
    <cellStyle name="T_N2 thay dat (N1-1)_!1 1 bao cao giao KH ve HTCMT vung TNB   12-12-2011 2" xfId="5925"/>
    <cellStyle name="T_N2 thay dat (N1-1)_Bieu4HTMT" xfId="5926"/>
    <cellStyle name="T_N2 thay dat (N1-1)_Bieu4HTMT 2" xfId="5927"/>
    <cellStyle name="T_N2 thay dat (N1-1)_Bieu4HTMT_!1 1 bao cao giao KH ve HTCMT vung TNB   12-12-2011" xfId="5928"/>
    <cellStyle name="T_N2 thay dat (N1-1)_Bieu4HTMT_!1 1 bao cao giao KH ve HTCMT vung TNB   12-12-2011 2" xfId="5929"/>
    <cellStyle name="T_N2 thay dat (N1-1)_Bieu4HTMT_KH TPCP vung TNB (03-1-2012)" xfId="5930"/>
    <cellStyle name="T_N2 thay dat (N1-1)_Bieu4HTMT_KH TPCP vung TNB (03-1-2012) 2" xfId="5931"/>
    <cellStyle name="T_N2 thay dat (N1-1)_KH TPCP vung TNB (03-1-2012)" xfId="5932"/>
    <cellStyle name="T_N2 thay dat (N1-1)_KH TPCP vung TNB (03-1-2012) 2" xfId="5933"/>
    <cellStyle name="T_Phuong an can doi nam 2008" xfId="5934"/>
    <cellStyle name="T_Phuong an can doi nam 2008 2" xfId="5935"/>
    <cellStyle name="T_Phuong an can doi nam 2008_!1 1 bao cao giao KH ve HTCMT vung TNB   12-12-2011" xfId="5936"/>
    <cellStyle name="T_Phuong an can doi nam 2008_!1 1 bao cao giao KH ve HTCMT vung TNB   12-12-2011 2" xfId="5937"/>
    <cellStyle name="T_Phuong an can doi nam 2008_KH TPCP vung TNB (03-1-2012)" xfId="5938"/>
    <cellStyle name="T_Phuong an can doi nam 2008_KH TPCP vung TNB (03-1-2012) 2" xfId="5939"/>
    <cellStyle name="T_Seagame(BTL)" xfId="2150"/>
    <cellStyle name="T_Seagame(BTL) 2" xfId="2151"/>
    <cellStyle name="T_So GTVT" xfId="5940"/>
    <cellStyle name="T_So GTVT 2" xfId="5941"/>
    <cellStyle name="T_So GTVT_!1 1 bao cao giao KH ve HTCMT vung TNB   12-12-2011" xfId="5942"/>
    <cellStyle name="T_So GTVT_!1 1 bao cao giao KH ve HTCMT vung TNB   12-12-2011 2" xfId="5943"/>
    <cellStyle name="T_So GTVT_KH TPCP vung TNB (03-1-2012)" xfId="5944"/>
    <cellStyle name="T_So GTVT_KH TPCP vung TNB (03-1-2012) 2" xfId="5945"/>
    <cellStyle name="T_tai co cau dau tu (tong hop)1" xfId="5946"/>
    <cellStyle name="T_TDT + duong(8-5-07)" xfId="5947"/>
    <cellStyle name="T_TDT + duong(8-5-07) 2" xfId="5948"/>
    <cellStyle name="T_TDT + duong(8-5-07)_!1 1 bao cao giao KH ve HTCMT vung TNB   12-12-2011" xfId="5949"/>
    <cellStyle name="T_TDT + duong(8-5-07)_!1 1 bao cao giao KH ve HTCMT vung TNB   12-12-2011 2" xfId="5950"/>
    <cellStyle name="T_TDT + duong(8-5-07)_Bieu4HTMT" xfId="5951"/>
    <cellStyle name="T_TDT + duong(8-5-07)_Bieu4HTMT 2" xfId="5952"/>
    <cellStyle name="T_TDT + duong(8-5-07)_Bieu4HTMT_!1 1 bao cao giao KH ve HTCMT vung TNB   12-12-2011" xfId="5953"/>
    <cellStyle name="T_TDT + duong(8-5-07)_Bieu4HTMT_!1 1 bao cao giao KH ve HTCMT vung TNB   12-12-2011 2" xfId="5954"/>
    <cellStyle name="T_TDT + duong(8-5-07)_Bieu4HTMT_KH TPCP vung TNB (03-1-2012)" xfId="5955"/>
    <cellStyle name="T_TDT + duong(8-5-07)_Bieu4HTMT_KH TPCP vung TNB (03-1-2012) 2" xfId="5956"/>
    <cellStyle name="T_TDT + duong(8-5-07)_KH TPCP vung TNB (03-1-2012)" xfId="5957"/>
    <cellStyle name="T_TDT + duong(8-5-07)_KH TPCP vung TNB (03-1-2012) 2" xfId="5958"/>
    <cellStyle name="T_tham_tra_du_toan" xfId="2152"/>
    <cellStyle name="T_tham_tra_du_toan 2" xfId="2153"/>
    <cellStyle name="T_tham_tra_du_toan_!1 1 bao cao giao KH ve HTCMT vung TNB   12-12-2011" xfId="5961"/>
    <cellStyle name="T_tham_tra_du_toan_!1 1 bao cao giao KH ve HTCMT vung TNB   12-12-2011 2" xfId="5962"/>
    <cellStyle name="T_tham_tra_du_toan_Bieu4HTMT" xfId="5963"/>
    <cellStyle name="T_tham_tra_du_toan_Bieu4HTMT 2" xfId="5964"/>
    <cellStyle name="T_tham_tra_du_toan_Bieu4HTMT_!1 1 bao cao giao KH ve HTCMT vung TNB   12-12-2011" xfId="5965"/>
    <cellStyle name="T_tham_tra_du_toan_Bieu4HTMT_!1 1 bao cao giao KH ve HTCMT vung TNB   12-12-2011 2" xfId="5966"/>
    <cellStyle name="T_tham_tra_du_toan_Bieu4HTMT_KH TPCP vung TNB (03-1-2012)" xfId="5967"/>
    <cellStyle name="T_tham_tra_du_toan_Bieu4HTMT_KH TPCP vung TNB (03-1-2012) 2" xfId="5968"/>
    <cellStyle name="T_tham_tra_du_toan_KH TPCP vung TNB (03-1-2012)" xfId="5969"/>
    <cellStyle name="T_tham_tra_du_toan_KH TPCP vung TNB (03-1-2012) 2" xfId="5970"/>
    <cellStyle name="T_Thiet bi" xfId="5971"/>
    <cellStyle name="T_Thiet bi 2" xfId="5972"/>
    <cellStyle name="T_Thiet bi_!1 1 bao cao giao KH ve HTCMT vung TNB   12-12-2011" xfId="5973"/>
    <cellStyle name="T_Thiet bi_!1 1 bao cao giao KH ve HTCMT vung TNB   12-12-2011 2" xfId="5974"/>
    <cellStyle name="T_Thiet bi_Bieu4HTMT" xfId="5975"/>
    <cellStyle name="T_Thiet bi_Bieu4HTMT 2" xfId="5976"/>
    <cellStyle name="T_Thiet bi_Bieu4HTMT_!1 1 bao cao giao KH ve HTCMT vung TNB   12-12-2011" xfId="5977"/>
    <cellStyle name="T_Thiet bi_Bieu4HTMT_!1 1 bao cao giao KH ve HTCMT vung TNB   12-12-2011 2" xfId="5978"/>
    <cellStyle name="T_Thiet bi_Bieu4HTMT_KH TPCP vung TNB (03-1-2012)" xfId="5979"/>
    <cellStyle name="T_Thiet bi_Bieu4HTMT_KH TPCP vung TNB (03-1-2012) 2" xfId="5980"/>
    <cellStyle name="T_Thiet bi_KH TPCP vung TNB (03-1-2012)" xfId="5981"/>
    <cellStyle name="T_Thiet bi_KH TPCP vung TNB (03-1-2012) 2" xfId="5982"/>
    <cellStyle name="T_TK_HT" xfId="5959"/>
    <cellStyle name="T_TK_HT 2" xfId="5960"/>
    <cellStyle name="T_Van Ban 2007" xfId="5983"/>
    <cellStyle name="T_Van Ban 2007_15_10_2013 BC nhu cau von doi ung ODA (2014-2016) ngay 15102013 Sua" xfId="5984"/>
    <cellStyle name="T_Van Ban 2007_bao cao phan bo KHDT 2011(final)" xfId="5985"/>
    <cellStyle name="T_Van Ban 2007_bao cao phan bo KHDT 2011(final)_BC nhu cau von doi ung ODA nganh NN (BKH)" xfId="5986"/>
    <cellStyle name="T_Van Ban 2007_bao cao phan bo KHDT 2011(final)_BC Tai co cau (bieu TH)" xfId="5987"/>
    <cellStyle name="T_Van Ban 2007_bao cao phan bo KHDT 2011(final)_DK 2014-2015 final" xfId="5988"/>
    <cellStyle name="T_Van Ban 2007_bao cao phan bo KHDT 2011(final)_DK 2014-2015 new" xfId="5989"/>
    <cellStyle name="T_Van Ban 2007_bao cao phan bo KHDT 2011(final)_DK KH CBDT 2014 11-11-2013" xfId="5990"/>
    <cellStyle name="T_Van Ban 2007_bao cao phan bo KHDT 2011(final)_DK KH CBDT 2014 11-11-2013(1)" xfId="5991"/>
    <cellStyle name="T_Van Ban 2007_bao cao phan bo KHDT 2011(final)_KH 2011-2015" xfId="5992"/>
    <cellStyle name="T_Van Ban 2007_bao cao phan bo KHDT 2011(final)_tai co cau dau tu (tong hop)1" xfId="5993"/>
    <cellStyle name="T_Van Ban 2007_BC nhu cau von doi ung ODA nganh NN (BKH)" xfId="5994"/>
    <cellStyle name="T_Van Ban 2007_BC nhu cau von doi ung ODA nganh NN (BKH)_05-12  KH trung han 2016-2020 - Liem Thinh edited" xfId="5995"/>
    <cellStyle name="T_Van Ban 2007_BC nhu cau von doi ung ODA nganh NN (BKH)_Copy of 05-12  KH trung han 2016-2020 - Liem Thinh edited (1)" xfId="5996"/>
    <cellStyle name="T_Van Ban 2007_BC Tai co cau (bieu TH)" xfId="5997"/>
    <cellStyle name="T_Van Ban 2007_BC Tai co cau (bieu TH)_05-12  KH trung han 2016-2020 - Liem Thinh edited" xfId="5998"/>
    <cellStyle name="T_Van Ban 2007_BC Tai co cau (bieu TH)_Copy of 05-12  KH trung han 2016-2020 - Liem Thinh edited (1)" xfId="5999"/>
    <cellStyle name="T_Van Ban 2007_DK 2014-2015 final" xfId="6000"/>
    <cellStyle name="T_Van Ban 2007_DK 2014-2015 final_05-12  KH trung han 2016-2020 - Liem Thinh edited" xfId="6001"/>
    <cellStyle name="T_Van Ban 2007_DK 2014-2015 final_Copy of 05-12  KH trung han 2016-2020 - Liem Thinh edited (1)" xfId="6002"/>
    <cellStyle name="T_Van Ban 2007_DK 2014-2015 new" xfId="6003"/>
    <cellStyle name="T_Van Ban 2007_DK 2014-2015 new_05-12  KH trung han 2016-2020 - Liem Thinh edited" xfId="6004"/>
    <cellStyle name="T_Van Ban 2007_DK 2014-2015 new_Copy of 05-12  KH trung han 2016-2020 - Liem Thinh edited (1)" xfId="6005"/>
    <cellStyle name="T_Van Ban 2007_DK KH CBDT 2014 11-11-2013" xfId="6006"/>
    <cellStyle name="T_Van Ban 2007_DK KH CBDT 2014 11-11-2013(1)" xfId="6007"/>
    <cellStyle name="T_Van Ban 2007_DK KH CBDT 2014 11-11-2013(1)_05-12  KH trung han 2016-2020 - Liem Thinh edited" xfId="6008"/>
    <cellStyle name="T_Van Ban 2007_DK KH CBDT 2014 11-11-2013(1)_Copy of 05-12  KH trung han 2016-2020 - Liem Thinh edited (1)" xfId="6009"/>
    <cellStyle name="T_Van Ban 2007_DK KH CBDT 2014 11-11-2013_05-12  KH trung han 2016-2020 - Liem Thinh edited" xfId="6010"/>
    <cellStyle name="T_Van Ban 2007_DK KH CBDT 2014 11-11-2013_Copy of 05-12  KH trung han 2016-2020 - Liem Thinh edited (1)" xfId="6011"/>
    <cellStyle name="T_Van Ban 2008" xfId="6012"/>
    <cellStyle name="T_Van Ban 2008_15_10_2013 BC nhu cau von doi ung ODA (2014-2016) ngay 15102013 Sua" xfId="6013"/>
    <cellStyle name="T_Van Ban 2008_bao cao phan bo KHDT 2011(final)" xfId="6014"/>
    <cellStyle name="T_Van Ban 2008_bao cao phan bo KHDT 2011(final)_BC nhu cau von doi ung ODA nganh NN (BKH)" xfId="6015"/>
    <cellStyle name="T_Van Ban 2008_bao cao phan bo KHDT 2011(final)_BC Tai co cau (bieu TH)" xfId="6016"/>
    <cellStyle name="T_Van Ban 2008_bao cao phan bo KHDT 2011(final)_DK 2014-2015 final" xfId="6017"/>
    <cellStyle name="T_Van Ban 2008_bao cao phan bo KHDT 2011(final)_DK 2014-2015 new" xfId="6018"/>
    <cellStyle name="T_Van Ban 2008_bao cao phan bo KHDT 2011(final)_DK KH CBDT 2014 11-11-2013" xfId="6019"/>
    <cellStyle name="T_Van Ban 2008_bao cao phan bo KHDT 2011(final)_DK KH CBDT 2014 11-11-2013(1)" xfId="6020"/>
    <cellStyle name="T_Van Ban 2008_bao cao phan bo KHDT 2011(final)_KH 2011-2015" xfId="6021"/>
    <cellStyle name="T_Van Ban 2008_bao cao phan bo KHDT 2011(final)_tai co cau dau tu (tong hop)1" xfId="6022"/>
    <cellStyle name="T_Van Ban 2008_BC nhu cau von doi ung ODA nganh NN (BKH)" xfId="6023"/>
    <cellStyle name="T_Van Ban 2008_BC nhu cau von doi ung ODA nganh NN (BKH)_05-12  KH trung han 2016-2020 - Liem Thinh edited" xfId="6024"/>
    <cellStyle name="T_Van Ban 2008_BC nhu cau von doi ung ODA nganh NN (BKH)_Copy of 05-12  KH trung han 2016-2020 - Liem Thinh edited (1)" xfId="6025"/>
    <cellStyle name="T_Van Ban 2008_BC Tai co cau (bieu TH)" xfId="6026"/>
    <cellStyle name="T_Van Ban 2008_BC Tai co cau (bieu TH)_05-12  KH trung han 2016-2020 - Liem Thinh edited" xfId="6027"/>
    <cellStyle name="T_Van Ban 2008_BC Tai co cau (bieu TH)_Copy of 05-12  KH trung han 2016-2020 - Liem Thinh edited (1)" xfId="6028"/>
    <cellStyle name="T_Van Ban 2008_DK 2014-2015 final" xfId="6029"/>
    <cellStyle name="T_Van Ban 2008_DK 2014-2015 final_05-12  KH trung han 2016-2020 - Liem Thinh edited" xfId="6030"/>
    <cellStyle name="T_Van Ban 2008_DK 2014-2015 final_Copy of 05-12  KH trung han 2016-2020 - Liem Thinh edited (1)" xfId="6031"/>
    <cellStyle name="T_Van Ban 2008_DK 2014-2015 new" xfId="6032"/>
    <cellStyle name="T_Van Ban 2008_DK 2014-2015 new_05-12  KH trung han 2016-2020 - Liem Thinh edited" xfId="6033"/>
    <cellStyle name="T_Van Ban 2008_DK 2014-2015 new_Copy of 05-12  KH trung han 2016-2020 - Liem Thinh edited (1)" xfId="6034"/>
    <cellStyle name="T_Van Ban 2008_DK KH CBDT 2014 11-11-2013" xfId="6035"/>
    <cellStyle name="T_Van Ban 2008_DK KH CBDT 2014 11-11-2013(1)" xfId="6036"/>
    <cellStyle name="T_Van Ban 2008_DK KH CBDT 2014 11-11-2013(1)_05-12  KH trung han 2016-2020 - Liem Thinh edited" xfId="6037"/>
    <cellStyle name="T_Van Ban 2008_DK KH CBDT 2014 11-11-2013(1)_Copy of 05-12  KH trung han 2016-2020 - Liem Thinh edited (1)" xfId="6038"/>
    <cellStyle name="T_Van Ban 2008_DK KH CBDT 2014 11-11-2013_05-12  KH trung han 2016-2020 - Liem Thinh edited" xfId="6039"/>
    <cellStyle name="T_Van Ban 2008_DK KH CBDT 2014 11-11-2013_Copy of 05-12  KH trung han 2016-2020 - Liem Thinh edited (1)" xfId="6040"/>
    <cellStyle name="T_XDCB thang 12.2010" xfId="6041"/>
    <cellStyle name="T_XDCB thang 12.2010 2" xfId="6042"/>
    <cellStyle name="T_XDCB thang 12.2010_!1 1 bao cao giao KH ve HTCMT vung TNB   12-12-2011" xfId="6043"/>
    <cellStyle name="T_XDCB thang 12.2010_!1 1 bao cao giao KH ve HTCMT vung TNB   12-12-2011 2" xfId="6044"/>
    <cellStyle name="T_XDCB thang 12.2010_KH TPCP vung TNB (03-1-2012)" xfId="6045"/>
    <cellStyle name="T_XDCB thang 12.2010_KH TPCP vung TNB (03-1-2012) 2" xfId="6046"/>
    <cellStyle name="T_ÿÿÿÿÿ" xfId="2154"/>
    <cellStyle name="T_ÿÿÿÿÿ 2" xfId="2155"/>
    <cellStyle name="T_ÿÿÿÿÿ_!1 1 bao cao giao KH ve HTCMT vung TNB   12-12-2011" xfId="6047"/>
    <cellStyle name="T_ÿÿÿÿÿ_!1 1 bao cao giao KH ve HTCMT vung TNB   12-12-2011 2" xfId="6048"/>
    <cellStyle name="T_ÿÿÿÿÿ_Bieu mau cong trinh khoi cong moi 3-4" xfId="6049"/>
    <cellStyle name="T_ÿÿÿÿÿ_Bieu mau cong trinh khoi cong moi 3-4 2" xfId="6050"/>
    <cellStyle name="T_ÿÿÿÿÿ_Bieu mau cong trinh khoi cong moi 3-4_!1 1 bao cao giao KH ve HTCMT vung TNB   12-12-2011" xfId="6051"/>
    <cellStyle name="T_ÿÿÿÿÿ_Bieu mau cong trinh khoi cong moi 3-4_!1 1 bao cao giao KH ve HTCMT vung TNB   12-12-2011 2" xfId="6052"/>
    <cellStyle name="T_ÿÿÿÿÿ_Bieu mau cong trinh khoi cong moi 3-4_KH TPCP vung TNB (03-1-2012)" xfId="6053"/>
    <cellStyle name="T_ÿÿÿÿÿ_Bieu mau cong trinh khoi cong moi 3-4_KH TPCP vung TNB (03-1-2012) 2" xfId="6054"/>
    <cellStyle name="T_ÿÿÿÿÿ_Bieu3ODA" xfId="6055"/>
    <cellStyle name="T_ÿÿÿÿÿ_Bieu3ODA 2" xfId="6056"/>
    <cellStyle name="T_ÿÿÿÿÿ_Bieu3ODA_!1 1 bao cao giao KH ve HTCMT vung TNB   12-12-2011" xfId="6057"/>
    <cellStyle name="T_ÿÿÿÿÿ_Bieu3ODA_!1 1 bao cao giao KH ve HTCMT vung TNB   12-12-2011 2" xfId="6058"/>
    <cellStyle name="T_ÿÿÿÿÿ_Bieu3ODA_KH TPCP vung TNB (03-1-2012)" xfId="6059"/>
    <cellStyle name="T_ÿÿÿÿÿ_Bieu3ODA_KH TPCP vung TNB (03-1-2012) 2" xfId="6060"/>
    <cellStyle name="T_ÿÿÿÿÿ_Bieu4HTMT" xfId="6061"/>
    <cellStyle name="T_ÿÿÿÿÿ_Bieu4HTMT 2" xfId="6062"/>
    <cellStyle name="T_ÿÿÿÿÿ_Bieu4HTMT_!1 1 bao cao giao KH ve HTCMT vung TNB   12-12-2011" xfId="6063"/>
    <cellStyle name="T_ÿÿÿÿÿ_Bieu4HTMT_!1 1 bao cao giao KH ve HTCMT vung TNB   12-12-2011 2" xfId="6064"/>
    <cellStyle name="T_ÿÿÿÿÿ_Bieu4HTMT_KH TPCP vung TNB (03-1-2012)" xfId="6065"/>
    <cellStyle name="T_ÿÿÿÿÿ_Bieu4HTMT_KH TPCP vung TNB (03-1-2012) 2" xfId="6066"/>
    <cellStyle name="T_ÿÿÿÿÿ_KH TPCP vung TNB (03-1-2012)" xfId="6069"/>
    <cellStyle name="T_ÿÿÿÿÿ_KH TPCP vung TNB (03-1-2012) 2" xfId="6070"/>
    <cellStyle name="T_ÿÿÿÿÿ_kien giang 2" xfId="6067"/>
    <cellStyle name="T_ÿÿÿÿÿ_kien giang 2 2" xfId="6068"/>
    <cellStyle name="Text Indent A" xfId="2156"/>
    <cellStyle name="Text Indent A 2" xfId="2157"/>
    <cellStyle name="Text Indent B" xfId="2158"/>
    <cellStyle name="Text Indent B 10" xfId="6071"/>
    <cellStyle name="Text Indent B 11" xfId="6072"/>
    <cellStyle name="Text Indent B 12" xfId="6073"/>
    <cellStyle name="Text Indent B 13" xfId="6074"/>
    <cellStyle name="Text Indent B 14" xfId="6075"/>
    <cellStyle name="Text Indent B 15" xfId="6076"/>
    <cellStyle name="Text Indent B 16" xfId="6077"/>
    <cellStyle name="Text Indent B 2" xfId="2159"/>
    <cellStyle name="Text Indent B 3" xfId="6078"/>
    <cellStyle name="Text Indent B 4" xfId="6079"/>
    <cellStyle name="Text Indent B 5" xfId="6080"/>
    <cellStyle name="Text Indent B 6" xfId="6081"/>
    <cellStyle name="Text Indent B 7" xfId="6082"/>
    <cellStyle name="Text Indent B 8" xfId="6083"/>
    <cellStyle name="Text Indent B 9" xfId="6084"/>
    <cellStyle name="Text Indent C" xfId="2160"/>
    <cellStyle name="Text Indent C 10" xfId="6085"/>
    <cellStyle name="Text Indent C 11" xfId="6086"/>
    <cellStyle name="Text Indent C 12" xfId="6087"/>
    <cellStyle name="Text Indent C 13" xfId="6088"/>
    <cellStyle name="Text Indent C 14" xfId="6089"/>
    <cellStyle name="Text Indent C 15" xfId="6090"/>
    <cellStyle name="Text Indent C 16" xfId="6091"/>
    <cellStyle name="Text Indent C 2" xfId="2161"/>
    <cellStyle name="Text Indent C 3" xfId="6092"/>
    <cellStyle name="Text Indent C 4" xfId="6093"/>
    <cellStyle name="Text Indent C 5" xfId="6094"/>
    <cellStyle name="Text Indent C 6" xfId="6095"/>
    <cellStyle name="Text Indent C 7" xfId="6096"/>
    <cellStyle name="Text Indent C 8" xfId="6097"/>
    <cellStyle name="Text Indent C 9" xfId="6098"/>
    <cellStyle name="th" xfId="2181"/>
    <cellStyle name="th 2" xfId="2182"/>
    <cellStyle name="th 3" xfId="2183"/>
    <cellStyle name="th 4" xfId="2184"/>
    <cellStyle name="þ_x005f_x001d_ð¤_x005f_x000c_¯þ_x005f_x0014__x005f_x000d_¨þU_x005f_x0001_À_x005f_x0004_ _x005f_x0015__x005f_x000f__x005f_x0001__x005f_x0001_" xfId="6106"/>
    <cellStyle name="þ_x005f_x001d_ð·_x005f_x000c_æþ'_x005f_x000d_ßþU_x005f_x0001_Ø_x005f_x0005_ü_x005f_x0014__x005f_x0007__x005f_x0001__x005f_x0001_" xfId="6107"/>
    <cellStyle name="þ_x005f_x001d_ðÇ%Uý—&amp;Hý9_x005f_x0008_Ÿ s_x005f_x000a__x005f_x0007__x005f_x0001__x005f_x0001_" xfId="6108"/>
    <cellStyle name="þ_x005f_x001d_ðK_x005f_x000c_Fý_x005f_x001b__x005f_x000d_9ýU_x005f_x0001_Ð_x005f_x0008_¦)_x005f_x0007__x005f_x0001__x005f_x0001_" xfId="6109"/>
    <cellStyle name="þ_x005f_x005f_x005f_x001d_ð¤_x005f_x005f_x005f_x000c_¯þ_x005f_x005f_x005f_x0014__x005f_x005f_x005f_x000d_¨þU_x005f_x005f_x005f_x0001_À_x005f_x005f_x005f_x0004_ _x005f_x005f_x005f_x0015__x005f_x005f_x005f_x000f__x005f_x005f_x005f_x0001__x005f_x005f_x005f_x0001_" xfId="6110"/>
    <cellStyle name="þ_x005f_x005f_x005f_x001d_ð·_x005f_x005f_x005f_x000c_æþ'_x005f_x005f_x005f_x000d_ßþU_x005f_x005f_x005f_x0001_Ø_x005f_x005f_x005f_x0005_ü_x005f_x005f_x005f_x0014__x005f_x005f_x005f_x0007__x005f_x005f_x005f_x0001__x005f_x005f_x005f_x0001_" xfId="6111"/>
    <cellStyle name="þ_x005f_x005f_x005f_x001d_ðÇ%Uý—&amp;Hý9_x005f_x005f_x005f_x0008_Ÿ s_x005f_x005f_x005f_x000a__x005f_x005f_x005f_x0007__x005f_x005f_x005f_x0001__x005f_x005f_x005f_x0001_" xfId="6112"/>
    <cellStyle name="þ_x005f_x005f_x005f_x001d_ðK_x005f_x005f_x005f_x000c_Fý_x005f_x005f_x005f_x001b__x005f_x005f_x005f_x000d_9ýU_x005f_x005f_x005f_x0001_Ð_x005f_x005f_x005f_x0008_¦)_x005f_x005f_x005f_x0007__x005f_x005f_x005f_x0001__x005f_x005f_x005f_x0001_" xfId="6113"/>
    <cellStyle name="than" xfId="2185"/>
    <cellStyle name="Thanh" xfId="6114"/>
    <cellStyle name="þ_x001d_ð¤_x000c_¯þ_x0014__x000a_¨þU_x0001_À_x0004_ _x0015__x000f__x0001__x0001_" xfId="6115"/>
    <cellStyle name="þ_x001d_ð¤_x000c_¯þ_x0014__x000d_¨þU_x0001_À_x0004_ _x0015__x000f__x0001__x0001_" xfId="2186"/>
    <cellStyle name="þ_x001d_ð¤_x000c_¯þ_x0014__x000d_¨þU_x0001_À_x0004_ _x0015__x000f__x0001__x0001_ 2" xfId="2187"/>
    <cellStyle name="þ_x001d_ð·_x000c_æþ'_x000a_ßþU_x0001_Ø_x0005_ü_x0014__x0007__x0001__x0001_" xfId="6116"/>
    <cellStyle name="þ_x001d_ð·_x000c_æþ'_x000d_ßþU_x0001_Ø_x0005_ü_x0014__x0007__x0001__x0001_" xfId="2188"/>
    <cellStyle name="þ_x001d_ð·_x000c_æþ'_x000d_ßþU_x0001_Ø_x0005_ü_x0014__x0007__x0001__x0001_ 2" xfId="2189"/>
    <cellStyle name="þ_x001d_ð·_x000c_æþ'_x000d_ßþU_x0001_Ø_x0005_ü_x0014__x0007__x0001__x0001_ 3" xfId="2190"/>
    <cellStyle name="þ_x001d_ð·_x000c_æþ'_x000d_ßþU_x0001_Ø_x0005_ü_x0014__x0007__x0001__x0001_ 4" xfId="2191"/>
    <cellStyle name="þ_x001d_ðÇ%Uý—&amp;Hý9_x0008_Ÿ s_x000a__x0007__x0001__x0001_" xfId="2192"/>
    <cellStyle name="þ_x001d_ðÇ%Uý—&amp;Hý9_x0008_Ÿ_x0009_s_x000a__x0007__x0001__x0001_" xfId="6173"/>
    <cellStyle name="þ_x001d_ðK_x000c_Fý_x001b__x000a_9ýU_x0001_Ð_x0008_¦)_x0007__x0001__x0001_" xfId="6117"/>
    <cellStyle name="þ_x001d_ðK_x000c_Fý_x001b__x000d_9ýU_x0001_Ð_x0008_¦)_x0007__x0001__x0001_" xfId="2193"/>
    <cellStyle name="thuong-10" xfId="2194"/>
    <cellStyle name="thuong-10 2" xfId="2195"/>
    <cellStyle name="thuong-11" xfId="2196"/>
    <cellStyle name="thuong-11 2" xfId="2197"/>
    <cellStyle name="Thuyet minh" xfId="2198"/>
    <cellStyle name="Thuyet minh 2" xfId="2199"/>
    <cellStyle name="Tickmark" xfId="6099"/>
    <cellStyle name="Tien1" xfId="6100"/>
    <cellStyle name="Tieu_de_2" xfId="6101"/>
    <cellStyle name="Times New Roman" xfId="2162"/>
    <cellStyle name="tit1" xfId="2163"/>
    <cellStyle name="tit1 2" xfId="2164"/>
    <cellStyle name="tit2" xfId="2165"/>
    <cellStyle name="tit2 2" xfId="2166"/>
    <cellStyle name="tit3" xfId="2167"/>
    <cellStyle name="tit3 2" xfId="2168"/>
    <cellStyle name="tit4" xfId="2169"/>
    <cellStyle name="tit4 2" xfId="2170"/>
    <cellStyle name="Title 2" xfId="2171"/>
    <cellStyle name="Title 2 2" xfId="2289"/>
    <cellStyle name="Title 2 3" xfId="2367"/>
    <cellStyle name="Title 3" xfId="2172"/>
    <cellStyle name="Title 4" xfId="2173"/>
    <cellStyle name="Tong so" xfId="6102"/>
    <cellStyle name="tong so 1" xfId="6103"/>
    <cellStyle name="Tong so_Bieu KHPTLN 2016-2020" xfId="6104"/>
    <cellStyle name="Tongcong" xfId="2174"/>
    <cellStyle name="Tongcong 2" xfId="2175"/>
    <cellStyle name="Total 2" xfId="2176"/>
    <cellStyle name="Total 2 2" xfId="2288"/>
    <cellStyle name="Total 2 3" xfId="2374"/>
    <cellStyle name="Total 3" xfId="2177"/>
    <cellStyle name="Total 4" xfId="2178"/>
    <cellStyle name="trang" xfId="6118"/>
    <cellStyle name="tt1" xfId="6105"/>
    <cellStyle name="Tusental (0)_pldt" xfId="2179"/>
    <cellStyle name="Tusental_pldt" xfId="2180"/>
    <cellStyle name="ux_3_¼­¿ï-¾È»ê" xfId="6119"/>
    <cellStyle name="Valuta (0)_CALPREZZ" xfId="2200"/>
    <cellStyle name="Valuta_ PESO ELETTR." xfId="2201"/>
    <cellStyle name="VANG1" xfId="6120"/>
    <cellStyle name="VANG1 2" xfId="6121"/>
    <cellStyle name="viet" xfId="2202"/>
    <cellStyle name="viet 2" xfId="2203"/>
    <cellStyle name="viet 3" xfId="2204"/>
    <cellStyle name="viet 4" xfId="2205"/>
    <cellStyle name="viet2" xfId="2206"/>
    <cellStyle name="viet2 2" xfId="2207"/>
    <cellStyle name="viet2 3" xfId="2208"/>
    <cellStyle name="viet2 4" xfId="2209"/>
    <cellStyle name="VN new romanNormal" xfId="2210"/>
    <cellStyle name="VN new romanNormal 2" xfId="6122"/>
    <cellStyle name="VN new romanNormal 2 2" xfId="6123"/>
    <cellStyle name="VN new romanNormal 3" xfId="6124"/>
    <cellStyle name="VN new romanNormal_05-12  KH trung han 2016-2020 - Liem Thinh edited" xfId="6125"/>
    <cellStyle name="Vn Time 13" xfId="2211"/>
    <cellStyle name="Vn Time 13 2" xfId="2212"/>
    <cellStyle name="Vn Time 14" xfId="2213"/>
    <cellStyle name="Vn Time 14 2" xfId="2214"/>
    <cellStyle name="Vn Time 14 3" xfId="6126"/>
    <cellStyle name="VN time new roman" xfId="2215"/>
    <cellStyle name="VN time new roman 2" xfId="6127"/>
    <cellStyle name="VN time new roman 2 2" xfId="6128"/>
    <cellStyle name="VN time new roman 3" xfId="6129"/>
    <cellStyle name="VN time new roman_05-12  KH trung han 2016-2020 - Liem Thinh edited" xfId="6130"/>
    <cellStyle name="vn_time" xfId="6131"/>
    <cellStyle name="vnbo" xfId="2216"/>
    <cellStyle name="vnbo 2" xfId="2217"/>
    <cellStyle name="vnbo 3" xfId="6132"/>
    <cellStyle name="vnhead1" xfId="2222"/>
    <cellStyle name="vnhead1 2" xfId="2223"/>
    <cellStyle name="vnhead2" xfId="2224"/>
    <cellStyle name="vnhead2 2" xfId="2225"/>
    <cellStyle name="vnhead2 3" xfId="6148"/>
    <cellStyle name="vnhead3" xfId="2226"/>
    <cellStyle name="vnhead3 2" xfId="2227"/>
    <cellStyle name="vnhead3 3" xfId="6149"/>
    <cellStyle name="vnhead4" xfId="2228"/>
    <cellStyle name="vnhead4 2" xfId="2229"/>
    <cellStyle name="vntxt1" xfId="2218"/>
    <cellStyle name="vntxt1 10" xfId="6133"/>
    <cellStyle name="vntxt1 11" xfId="6134"/>
    <cellStyle name="vntxt1 12" xfId="6135"/>
    <cellStyle name="vntxt1 13" xfId="6136"/>
    <cellStyle name="vntxt1 14" xfId="6137"/>
    <cellStyle name="vntxt1 15" xfId="6138"/>
    <cellStyle name="vntxt1 16" xfId="6139"/>
    <cellStyle name="vntxt1 2" xfId="2219"/>
    <cellStyle name="vntxt1 3" xfId="6140"/>
    <cellStyle name="vntxt1 4" xfId="6141"/>
    <cellStyle name="vntxt1 5" xfId="6142"/>
    <cellStyle name="vntxt1 6" xfId="6143"/>
    <cellStyle name="vntxt1 7" xfId="6144"/>
    <cellStyle name="vntxt1 8" xfId="6145"/>
    <cellStyle name="vntxt1 9" xfId="6146"/>
    <cellStyle name="vntxt1_05-12  KH trung han 2016-2020 - Liem Thinh edited" xfId="6147"/>
    <cellStyle name="vntxt2" xfId="2220"/>
    <cellStyle name="vntxt2 2" xfId="2221"/>
    <cellStyle name="W?hrung [0]_35ERI8T2gbIEMixb4v26icuOo" xfId="6150"/>
    <cellStyle name="W?hrung_35ERI8T2gbIEMixb4v26icuOo" xfId="6151"/>
    <cellStyle name="Währung [0]_68574_Materialbedarfsliste" xfId="6152"/>
    <cellStyle name="Währung_68574_Materialbedarfsliste" xfId="6153"/>
    <cellStyle name="Walutowy [0]_Invoices2001Slovakia" xfId="2230"/>
    <cellStyle name="Walutowy_Invoices2001Slovakia" xfId="2231"/>
    <cellStyle name="Warning Text 2" xfId="2232"/>
    <cellStyle name="Warning Text 2 2" xfId="2433"/>
    <cellStyle name="Warning Text 2 3" xfId="2379"/>
    <cellStyle name="Warning Text 3" xfId="2233"/>
    <cellStyle name="Warning Text 4" xfId="2234"/>
    <cellStyle name="wrap" xfId="6154"/>
    <cellStyle name="Wไhrung [0]_35ERI8T2gbIEMixb4v26icuOo" xfId="6155"/>
    <cellStyle name="Wไhrung_35ERI8T2gbIEMixb4v26icuOo" xfId="6156"/>
    <cellStyle name="xan1" xfId="6157"/>
    <cellStyle name="xuan" xfId="2235"/>
    <cellStyle name="xuan 2" xfId="2236"/>
    <cellStyle name="xuan 3" xfId="2237"/>
    <cellStyle name="xuan 4" xfId="2238"/>
    <cellStyle name="y" xfId="6158"/>
    <cellStyle name="y 2" xfId="6159"/>
    <cellStyle name="Ý kh¸c_B¶ng 1 (2)" xfId="6160"/>
    <cellStyle name="เครื่องหมายสกุลเงิน [0]_FTC_OFFER" xfId="6161"/>
    <cellStyle name="เครื่องหมายสกุลเงิน_FTC_OFFER" xfId="6162"/>
    <cellStyle name="ปกติ_FTC_OFFER" xfId="6163"/>
    <cellStyle name=" [0.00]_ Att. 1- Cover" xfId="2239"/>
    <cellStyle name="_ Att. 1- Cover" xfId="2240"/>
    <cellStyle name="?_ Att. 1- Cover" xfId="2241"/>
    <cellStyle name="똿뗦먛귟 [0.00]_PRODUCT DETAIL Q1" xfId="2242"/>
    <cellStyle name="똿뗦먛귟_PRODUCT DETAIL Q1" xfId="2243"/>
    <cellStyle name="믅됞 [0.00]_PRODUCT DETAIL Q1" xfId="2244"/>
    <cellStyle name="믅됞_PRODUCT DETAIL Q1" xfId="2245"/>
    <cellStyle name="백분율_††††† " xfId="6164"/>
    <cellStyle name="뷭?_BOOKSHIP" xfId="2246"/>
    <cellStyle name="안건회계법인" xfId="2247"/>
    <cellStyle name="안건회계법인 2" xfId="2248"/>
    <cellStyle name="안건회계법인 3" xfId="2249"/>
    <cellStyle name="안건회계법인 4" xfId="2250"/>
    <cellStyle name="콤맀_Sheet1_총괄표 (수출입) (2)" xfId="6165"/>
    <cellStyle name="콤마 [ - 유형1" xfId="2251"/>
    <cellStyle name="콤마 [ - 유형2" xfId="2252"/>
    <cellStyle name="콤마 [ - 유형3" xfId="2253"/>
    <cellStyle name="콤마 [ - 유형4" xfId="2254"/>
    <cellStyle name="콤마 [ - 유형5" xfId="2255"/>
    <cellStyle name="콤마 [ - 유형6" xfId="2256"/>
    <cellStyle name="콤마 [ - 유형7" xfId="2257"/>
    <cellStyle name="콤마 [ - 유형8" xfId="2258"/>
    <cellStyle name="콤마 [0]_ 비목별 월별기술 " xfId="2259"/>
    <cellStyle name="콤마_ 비목별 월별기술 " xfId="2260"/>
    <cellStyle name="통화 [0]_††††† " xfId="6166"/>
    <cellStyle name="통화_††††† " xfId="6167"/>
    <cellStyle name="표섀_변경(최종)" xfId="6168"/>
    <cellStyle name="표준_ 97년 경영분석(안)" xfId="2261"/>
    <cellStyle name="표줠_Sheet1_1_총괄표 (수출입) (2)" xfId="6169"/>
    <cellStyle name="一般_00Q3902REV.1" xfId="2262"/>
    <cellStyle name="千位分隔_CCTV" xfId="2263"/>
    <cellStyle name="千分位[0]_00Q3902REV.1" xfId="2264"/>
    <cellStyle name="千分位_00Q3902REV.1" xfId="2265"/>
    <cellStyle name="常规_BA" xfId="2266"/>
    <cellStyle name="桁区切り [0.00]_BE-BQ" xfId="2267"/>
    <cellStyle name="桁区切り_BE-BQ" xfId="2268"/>
    <cellStyle name="標準_(A1)BOQ " xfId="2269"/>
    <cellStyle name="貨幣 [0]_00Q3902REV.1" xfId="2270"/>
    <cellStyle name="貨幣[0]_BRE" xfId="2271"/>
    <cellStyle name="貨幣_00Q3902REV.1" xfId="2272"/>
    <cellStyle name="通貨 [0.00]_BE-BQ" xfId="2273"/>
    <cellStyle name="通貨_BE-BQ" xfId="22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X64"/>
  <sheetViews>
    <sheetView view="pageBreakPreview" zoomScale="70" zoomScaleNormal="80" zoomScaleSheetLayoutView="70" workbookViewId="0">
      <selection activeCell="A2" sqref="A2:E2"/>
    </sheetView>
  </sheetViews>
  <sheetFormatPr defaultColWidth="8.88671875" defaultRowHeight="13.8"/>
  <cols>
    <col min="1" max="1" width="7.88671875" style="474" customWidth="1"/>
    <col min="2" max="2" width="68.44140625" style="471" customWidth="1"/>
    <col min="3" max="3" width="14.6640625" style="471" hidden="1" customWidth="1"/>
    <col min="4" max="4" width="18" style="471" customWidth="1"/>
    <col min="5" max="5" width="28" style="471" customWidth="1"/>
    <col min="6" max="6" width="14.109375" style="471" bestFit="1" customWidth="1"/>
    <col min="7" max="7" width="16" style="471" customWidth="1"/>
    <col min="8" max="8" width="13.44140625" style="471" customWidth="1"/>
    <col min="9" max="9" width="13" style="471" customWidth="1"/>
    <col min="10" max="10" width="8.88671875" style="471"/>
    <col min="11" max="11" width="14.44140625" style="471" bestFit="1" customWidth="1"/>
    <col min="12" max="12" width="14.88671875" style="471" bestFit="1" customWidth="1"/>
    <col min="13" max="16" width="12.88671875" style="471" bestFit="1" customWidth="1"/>
    <col min="17" max="19" width="11.44140625" style="471" bestFit="1" customWidth="1"/>
    <col min="20" max="20" width="8.88671875" style="471"/>
    <col min="21" max="22" width="11.44140625" style="471" bestFit="1" customWidth="1"/>
    <col min="23" max="23" width="12.88671875" style="471" bestFit="1" customWidth="1"/>
    <col min="24" max="24" width="10" style="471" bestFit="1" customWidth="1"/>
    <col min="25" max="243" width="8.88671875" style="471"/>
    <col min="244" max="244" width="7.88671875" style="471" customWidth="1"/>
    <col min="245" max="245" width="68.44140625" style="471" customWidth="1"/>
    <col min="246" max="246" width="14.6640625" style="471" customWidth="1"/>
    <col min="247" max="247" width="18" style="471" customWidth="1"/>
    <col min="248" max="248" width="28" style="471" customWidth="1"/>
    <col min="249" max="249" width="11.88671875" style="471" bestFit="1" customWidth="1"/>
    <col min="250" max="250" width="16" style="471" customWidth="1"/>
    <col min="251" max="251" width="13.44140625" style="471" customWidth="1"/>
    <col min="252" max="252" width="13" style="471" customWidth="1"/>
    <col min="253" max="253" width="13.109375" style="471" bestFit="1" customWidth="1"/>
    <col min="254" max="261" width="11.33203125" style="471" bestFit="1" customWidth="1"/>
    <col min="262" max="262" width="11.33203125" style="471" customWidth="1"/>
    <col min="263" max="263" width="13.109375" style="471" bestFit="1" customWidth="1"/>
    <col min="264" max="264" width="10" style="471" bestFit="1" customWidth="1"/>
    <col min="265" max="265" width="13.109375" style="471" bestFit="1" customWidth="1"/>
    <col min="266" max="499" width="8.88671875" style="471"/>
    <col min="500" max="500" width="7.88671875" style="471" customWidth="1"/>
    <col min="501" max="501" width="68.44140625" style="471" customWidth="1"/>
    <col min="502" max="502" width="14.6640625" style="471" customWidth="1"/>
    <col min="503" max="503" width="18" style="471" customWidth="1"/>
    <col min="504" max="504" width="28" style="471" customWidth="1"/>
    <col min="505" max="505" width="11.88671875" style="471" bestFit="1" customWidth="1"/>
    <col min="506" max="506" width="16" style="471" customWidth="1"/>
    <col min="507" max="507" width="13.44140625" style="471" customWidth="1"/>
    <col min="508" max="508" width="13" style="471" customWidth="1"/>
    <col min="509" max="509" width="13.109375" style="471" bestFit="1" customWidth="1"/>
    <col min="510" max="517" width="11.33203125" style="471" bestFit="1" customWidth="1"/>
    <col min="518" max="518" width="11.33203125" style="471" customWidth="1"/>
    <col min="519" max="519" width="13.109375" style="471" bestFit="1" customWidth="1"/>
    <col min="520" max="520" width="10" style="471" bestFit="1" customWidth="1"/>
    <col min="521" max="521" width="13.109375" style="471" bestFit="1" customWidth="1"/>
    <col min="522" max="755" width="8.88671875" style="471"/>
    <col min="756" max="756" width="7.88671875" style="471" customWidth="1"/>
    <col min="757" max="757" width="68.44140625" style="471" customWidth="1"/>
    <col min="758" max="758" width="14.6640625" style="471" customWidth="1"/>
    <col min="759" max="759" width="18" style="471" customWidth="1"/>
    <col min="760" max="760" width="28" style="471" customWidth="1"/>
    <col min="761" max="761" width="11.88671875" style="471" bestFit="1" customWidth="1"/>
    <col min="762" max="762" width="16" style="471" customWidth="1"/>
    <col min="763" max="763" width="13.44140625" style="471" customWidth="1"/>
    <col min="764" max="764" width="13" style="471" customWidth="1"/>
    <col min="765" max="765" width="13.109375" style="471" bestFit="1" customWidth="1"/>
    <col min="766" max="773" width="11.33203125" style="471" bestFit="1" customWidth="1"/>
    <col min="774" max="774" width="11.33203125" style="471" customWidth="1"/>
    <col min="775" max="775" width="13.109375" style="471" bestFit="1" customWidth="1"/>
    <col min="776" max="776" width="10" style="471" bestFit="1" customWidth="1"/>
    <col min="777" max="777" width="13.109375" style="471" bestFit="1" customWidth="1"/>
    <col min="778" max="1011" width="8.88671875" style="471"/>
    <col min="1012" max="1012" width="7.88671875" style="471" customWidth="1"/>
    <col min="1013" max="1013" width="68.44140625" style="471" customWidth="1"/>
    <col min="1014" max="1014" width="14.6640625" style="471" customWidth="1"/>
    <col min="1015" max="1015" width="18" style="471" customWidth="1"/>
    <col min="1016" max="1016" width="28" style="471" customWidth="1"/>
    <col min="1017" max="1017" width="11.88671875" style="471" bestFit="1" customWidth="1"/>
    <col min="1018" max="1018" width="16" style="471" customWidth="1"/>
    <col min="1019" max="1019" width="13.44140625" style="471" customWidth="1"/>
    <col min="1020" max="1020" width="13" style="471" customWidth="1"/>
    <col min="1021" max="1021" width="13.109375" style="471" bestFit="1" customWidth="1"/>
    <col min="1022" max="1029" width="11.33203125" style="471" bestFit="1" customWidth="1"/>
    <col min="1030" max="1030" width="11.33203125" style="471" customWidth="1"/>
    <col min="1031" max="1031" width="13.109375" style="471" bestFit="1" customWidth="1"/>
    <col min="1032" max="1032" width="10" style="471" bestFit="1" customWidth="1"/>
    <col min="1033" max="1033" width="13.109375" style="471" bestFit="1" customWidth="1"/>
    <col min="1034" max="1267" width="8.88671875" style="471"/>
    <col min="1268" max="1268" width="7.88671875" style="471" customWidth="1"/>
    <col min="1269" max="1269" width="68.44140625" style="471" customWidth="1"/>
    <col min="1270" max="1270" width="14.6640625" style="471" customWidth="1"/>
    <col min="1271" max="1271" width="18" style="471" customWidth="1"/>
    <col min="1272" max="1272" width="28" style="471" customWidth="1"/>
    <col min="1273" max="1273" width="11.88671875" style="471" bestFit="1" customWidth="1"/>
    <col min="1274" max="1274" width="16" style="471" customWidth="1"/>
    <col min="1275" max="1275" width="13.44140625" style="471" customWidth="1"/>
    <col min="1276" max="1276" width="13" style="471" customWidth="1"/>
    <col min="1277" max="1277" width="13.109375" style="471" bestFit="1" customWidth="1"/>
    <col min="1278" max="1285" width="11.33203125" style="471" bestFit="1" customWidth="1"/>
    <col min="1286" max="1286" width="11.33203125" style="471" customWidth="1"/>
    <col min="1287" max="1287" width="13.109375" style="471" bestFit="1" customWidth="1"/>
    <col min="1288" max="1288" width="10" style="471" bestFit="1" customWidth="1"/>
    <col min="1289" max="1289" width="13.109375" style="471" bestFit="1" customWidth="1"/>
    <col min="1290" max="1523" width="8.88671875" style="471"/>
    <col min="1524" max="1524" width="7.88671875" style="471" customWidth="1"/>
    <col min="1525" max="1525" width="68.44140625" style="471" customWidth="1"/>
    <col min="1526" max="1526" width="14.6640625" style="471" customWidth="1"/>
    <col min="1527" max="1527" width="18" style="471" customWidth="1"/>
    <col min="1528" max="1528" width="28" style="471" customWidth="1"/>
    <col min="1529" max="1529" width="11.88671875" style="471" bestFit="1" customWidth="1"/>
    <col min="1530" max="1530" width="16" style="471" customWidth="1"/>
    <col min="1531" max="1531" width="13.44140625" style="471" customWidth="1"/>
    <col min="1532" max="1532" width="13" style="471" customWidth="1"/>
    <col min="1533" max="1533" width="13.109375" style="471" bestFit="1" customWidth="1"/>
    <col min="1534" max="1541" width="11.33203125" style="471" bestFit="1" customWidth="1"/>
    <col min="1542" max="1542" width="11.33203125" style="471" customWidth="1"/>
    <col min="1543" max="1543" width="13.109375" style="471" bestFit="1" customWidth="1"/>
    <col min="1544" max="1544" width="10" style="471" bestFit="1" customWidth="1"/>
    <col min="1545" max="1545" width="13.109375" style="471" bestFit="1" customWidth="1"/>
    <col min="1546" max="1779" width="8.88671875" style="471"/>
    <col min="1780" max="1780" width="7.88671875" style="471" customWidth="1"/>
    <col min="1781" max="1781" width="68.44140625" style="471" customWidth="1"/>
    <col min="1782" max="1782" width="14.6640625" style="471" customWidth="1"/>
    <col min="1783" max="1783" width="18" style="471" customWidth="1"/>
    <col min="1784" max="1784" width="28" style="471" customWidth="1"/>
    <col min="1785" max="1785" width="11.88671875" style="471" bestFit="1" customWidth="1"/>
    <col min="1786" max="1786" width="16" style="471" customWidth="1"/>
    <col min="1787" max="1787" width="13.44140625" style="471" customWidth="1"/>
    <col min="1788" max="1788" width="13" style="471" customWidth="1"/>
    <col min="1789" max="1789" width="13.109375" style="471" bestFit="1" customWidth="1"/>
    <col min="1790" max="1797" width="11.33203125" style="471" bestFit="1" customWidth="1"/>
    <col min="1798" max="1798" width="11.33203125" style="471" customWidth="1"/>
    <col min="1799" max="1799" width="13.109375" style="471" bestFit="1" customWidth="1"/>
    <col min="1800" max="1800" width="10" style="471" bestFit="1" customWidth="1"/>
    <col min="1801" max="1801" width="13.109375" style="471" bestFit="1" customWidth="1"/>
    <col min="1802" max="2035" width="8.88671875" style="471"/>
    <col min="2036" max="2036" width="7.88671875" style="471" customWidth="1"/>
    <col min="2037" max="2037" width="68.44140625" style="471" customWidth="1"/>
    <col min="2038" max="2038" width="14.6640625" style="471" customWidth="1"/>
    <col min="2039" max="2039" width="18" style="471" customWidth="1"/>
    <col min="2040" max="2040" width="28" style="471" customWidth="1"/>
    <col min="2041" max="2041" width="11.88671875" style="471" bestFit="1" customWidth="1"/>
    <col min="2042" max="2042" width="16" style="471" customWidth="1"/>
    <col min="2043" max="2043" width="13.44140625" style="471" customWidth="1"/>
    <col min="2044" max="2044" width="13" style="471" customWidth="1"/>
    <col min="2045" max="2045" width="13.109375" style="471" bestFit="1" customWidth="1"/>
    <col min="2046" max="2053" width="11.33203125" style="471" bestFit="1" customWidth="1"/>
    <col min="2054" max="2054" width="11.33203125" style="471" customWidth="1"/>
    <col min="2055" max="2055" width="13.109375" style="471" bestFit="1" customWidth="1"/>
    <col min="2056" max="2056" width="10" style="471" bestFit="1" customWidth="1"/>
    <col min="2057" max="2057" width="13.109375" style="471" bestFit="1" customWidth="1"/>
    <col min="2058" max="2291" width="8.88671875" style="471"/>
    <col min="2292" max="2292" width="7.88671875" style="471" customWidth="1"/>
    <col min="2293" max="2293" width="68.44140625" style="471" customWidth="1"/>
    <col min="2294" max="2294" width="14.6640625" style="471" customWidth="1"/>
    <col min="2295" max="2295" width="18" style="471" customWidth="1"/>
    <col min="2296" max="2296" width="28" style="471" customWidth="1"/>
    <col min="2297" max="2297" width="11.88671875" style="471" bestFit="1" customWidth="1"/>
    <col min="2298" max="2298" width="16" style="471" customWidth="1"/>
    <col min="2299" max="2299" width="13.44140625" style="471" customWidth="1"/>
    <col min="2300" max="2300" width="13" style="471" customWidth="1"/>
    <col min="2301" max="2301" width="13.109375" style="471" bestFit="1" customWidth="1"/>
    <col min="2302" max="2309" width="11.33203125" style="471" bestFit="1" customWidth="1"/>
    <col min="2310" max="2310" width="11.33203125" style="471" customWidth="1"/>
    <col min="2311" max="2311" width="13.109375" style="471" bestFit="1" customWidth="1"/>
    <col min="2312" max="2312" width="10" style="471" bestFit="1" customWidth="1"/>
    <col min="2313" max="2313" width="13.109375" style="471" bestFit="1" customWidth="1"/>
    <col min="2314" max="2547" width="8.88671875" style="471"/>
    <col min="2548" max="2548" width="7.88671875" style="471" customWidth="1"/>
    <col min="2549" max="2549" width="68.44140625" style="471" customWidth="1"/>
    <col min="2550" max="2550" width="14.6640625" style="471" customWidth="1"/>
    <col min="2551" max="2551" width="18" style="471" customWidth="1"/>
    <col min="2552" max="2552" width="28" style="471" customWidth="1"/>
    <col min="2553" max="2553" width="11.88671875" style="471" bestFit="1" customWidth="1"/>
    <col min="2554" max="2554" width="16" style="471" customWidth="1"/>
    <col min="2555" max="2555" width="13.44140625" style="471" customWidth="1"/>
    <col min="2556" max="2556" width="13" style="471" customWidth="1"/>
    <col min="2557" max="2557" width="13.109375" style="471" bestFit="1" customWidth="1"/>
    <col min="2558" max="2565" width="11.33203125" style="471" bestFit="1" customWidth="1"/>
    <col min="2566" max="2566" width="11.33203125" style="471" customWidth="1"/>
    <col min="2567" max="2567" width="13.109375" style="471" bestFit="1" customWidth="1"/>
    <col min="2568" max="2568" width="10" style="471" bestFit="1" customWidth="1"/>
    <col min="2569" max="2569" width="13.109375" style="471" bestFit="1" customWidth="1"/>
    <col min="2570" max="2803" width="8.88671875" style="471"/>
    <col min="2804" max="2804" width="7.88671875" style="471" customWidth="1"/>
    <col min="2805" max="2805" width="68.44140625" style="471" customWidth="1"/>
    <col min="2806" max="2806" width="14.6640625" style="471" customWidth="1"/>
    <col min="2807" max="2807" width="18" style="471" customWidth="1"/>
    <col min="2808" max="2808" width="28" style="471" customWidth="1"/>
    <col min="2809" max="2809" width="11.88671875" style="471" bestFit="1" customWidth="1"/>
    <col min="2810" max="2810" width="16" style="471" customWidth="1"/>
    <col min="2811" max="2811" width="13.44140625" style="471" customWidth="1"/>
    <col min="2812" max="2812" width="13" style="471" customWidth="1"/>
    <col min="2813" max="2813" width="13.109375" style="471" bestFit="1" customWidth="1"/>
    <col min="2814" max="2821" width="11.33203125" style="471" bestFit="1" customWidth="1"/>
    <col min="2822" max="2822" width="11.33203125" style="471" customWidth="1"/>
    <col min="2823" max="2823" width="13.109375" style="471" bestFit="1" customWidth="1"/>
    <col min="2824" max="2824" width="10" style="471" bestFit="1" customWidth="1"/>
    <col min="2825" max="2825" width="13.109375" style="471" bestFit="1" customWidth="1"/>
    <col min="2826" max="3059" width="8.88671875" style="471"/>
    <col min="3060" max="3060" width="7.88671875" style="471" customWidth="1"/>
    <col min="3061" max="3061" width="68.44140625" style="471" customWidth="1"/>
    <col min="3062" max="3062" width="14.6640625" style="471" customWidth="1"/>
    <col min="3063" max="3063" width="18" style="471" customWidth="1"/>
    <col min="3064" max="3064" width="28" style="471" customWidth="1"/>
    <col min="3065" max="3065" width="11.88671875" style="471" bestFit="1" customWidth="1"/>
    <col min="3066" max="3066" width="16" style="471" customWidth="1"/>
    <col min="3067" max="3067" width="13.44140625" style="471" customWidth="1"/>
    <col min="3068" max="3068" width="13" style="471" customWidth="1"/>
    <col min="3069" max="3069" width="13.109375" style="471" bestFit="1" customWidth="1"/>
    <col min="3070" max="3077" width="11.33203125" style="471" bestFit="1" customWidth="1"/>
    <col min="3078" max="3078" width="11.33203125" style="471" customWidth="1"/>
    <col min="3079" max="3079" width="13.109375" style="471" bestFit="1" customWidth="1"/>
    <col min="3080" max="3080" width="10" style="471" bestFit="1" customWidth="1"/>
    <col min="3081" max="3081" width="13.109375" style="471" bestFit="1" customWidth="1"/>
    <col min="3082" max="3315" width="8.88671875" style="471"/>
    <col min="3316" max="3316" width="7.88671875" style="471" customWidth="1"/>
    <col min="3317" max="3317" width="68.44140625" style="471" customWidth="1"/>
    <col min="3318" max="3318" width="14.6640625" style="471" customWidth="1"/>
    <col min="3319" max="3319" width="18" style="471" customWidth="1"/>
    <col min="3320" max="3320" width="28" style="471" customWidth="1"/>
    <col min="3321" max="3321" width="11.88671875" style="471" bestFit="1" customWidth="1"/>
    <col min="3322" max="3322" width="16" style="471" customWidth="1"/>
    <col min="3323" max="3323" width="13.44140625" style="471" customWidth="1"/>
    <col min="3324" max="3324" width="13" style="471" customWidth="1"/>
    <col min="3325" max="3325" width="13.109375" style="471" bestFit="1" customWidth="1"/>
    <col min="3326" max="3333" width="11.33203125" style="471" bestFit="1" customWidth="1"/>
    <col min="3334" max="3334" width="11.33203125" style="471" customWidth="1"/>
    <col min="3335" max="3335" width="13.109375" style="471" bestFit="1" customWidth="1"/>
    <col min="3336" max="3336" width="10" style="471" bestFit="1" customWidth="1"/>
    <col min="3337" max="3337" width="13.109375" style="471" bestFit="1" customWidth="1"/>
    <col min="3338" max="3571" width="8.88671875" style="471"/>
    <col min="3572" max="3572" width="7.88671875" style="471" customWidth="1"/>
    <col min="3573" max="3573" width="68.44140625" style="471" customWidth="1"/>
    <col min="3574" max="3574" width="14.6640625" style="471" customWidth="1"/>
    <col min="3575" max="3575" width="18" style="471" customWidth="1"/>
    <col min="3576" max="3576" width="28" style="471" customWidth="1"/>
    <col min="3577" max="3577" width="11.88671875" style="471" bestFit="1" customWidth="1"/>
    <col min="3578" max="3578" width="16" style="471" customWidth="1"/>
    <col min="3579" max="3579" width="13.44140625" style="471" customWidth="1"/>
    <col min="3580" max="3580" width="13" style="471" customWidth="1"/>
    <col min="3581" max="3581" width="13.109375" style="471" bestFit="1" customWidth="1"/>
    <col min="3582" max="3589" width="11.33203125" style="471" bestFit="1" customWidth="1"/>
    <col min="3590" max="3590" width="11.33203125" style="471" customWidth="1"/>
    <col min="3591" max="3591" width="13.109375" style="471" bestFit="1" customWidth="1"/>
    <col min="3592" max="3592" width="10" style="471" bestFit="1" customWidth="1"/>
    <col min="3593" max="3593" width="13.109375" style="471" bestFit="1" customWidth="1"/>
    <col min="3594" max="3827" width="8.88671875" style="471"/>
    <col min="3828" max="3828" width="7.88671875" style="471" customWidth="1"/>
    <col min="3829" max="3829" width="68.44140625" style="471" customWidth="1"/>
    <col min="3830" max="3830" width="14.6640625" style="471" customWidth="1"/>
    <col min="3831" max="3831" width="18" style="471" customWidth="1"/>
    <col min="3832" max="3832" width="28" style="471" customWidth="1"/>
    <col min="3833" max="3833" width="11.88671875" style="471" bestFit="1" customWidth="1"/>
    <col min="3834" max="3834" width="16" style="471" customWidth="1"/>
    <col min="3835" max="3835" width="13.44140625" style="471" customWidth="1"/>
    <col min="3836" max="3836" width="13" style="471" customWidth="1"/>
    <col min="3837" max="3837" width="13.109375" style="471" bestFit="1" customWidth="1"/>
    <col min="3838" max="3845" width="11.33203125" style="471" bestFit="1" customWidth="1"/>
    <col min="3846" max="3846" width="11.33203125" style="471" customWidth="1"/>
    <col min="3847" max="3847" width="13.109375" style="471" bestFit="1" customWidth="1"/>
    <col min="3848" max="3848" width="10" style="471" bestFit="1" customWidth="1"/>
    <col min="3849" max="3849" width="13.109375" style="471" bestFit="1" customWidth="1"/>
    <col min="3850" max="4083" width="8.88671875" style="471"/>
    <col min="4084" max="4084" width="7.88671875" style="471" customWidth="1"/>
    <col min="4085" max="4085" width="68.44140625" style="471" customWidth="1"/>
    <col min="4086" max="4086" width="14.6640625" style="471" customWidth="1"/>
    <col min="4087" max="4087" width="18" style="471" customWidth="1"/>
    <col min="4088" max="4088" width="28" style="471" customWidth="1"/>
    <col min="4089" max="4089" width="11.88671875" style="471" bestFit="1" customWidth="1"/>
    <col min="4090" max="4090" width="16" style="471" customWidth="1"/>
    <col min="4091" max="4091" width="13.44140625" style="471" customWidth="1"/>
    <col min="4092" max="4092" width="13" style="471" customWidth="1"/>
    <col min="4093" max="4093" width="13.109375" style="471" bestFit="1" customWidth="1"/>
    <col min="4094" max="4101" width="11.33203125" style="471" bestFit="1" customWidth="1"/>
    <col min="4102" max="4102" width="11.33203125" style="471" customWidth="1"/>
    <col min="4103" max="4103" width="13.109375" style="471" bestFit="1" customWidth="1"/>
    <col min="4104" max="4104" width="10" style="471" bestFit="1" customWidth="1"/>
    <col min="4105" max="4105" width="13.109375" style="471" bestFit="1" customWidth="1"/>
    <col min="4106" max="4339" width="8.88671875" style="471"/>
    <col min="4340" max="4340" width="7.88671875" style="471" customWidth="1"/>
    <col min="4341" max="4341" width="68.44140625" style="471" customWidth="1"/>
    <col min="4342" max="4342" width="14.6640625" style="471" customWidth="1"/>
    <col min="4343" max="4343" width="18" style="471" customWidth="1"/>
    <col min="4344" max="4344" width="28" style="471" customWidth="1"/>
    <col min="4345" max="4345" width="11.88671875" style="471" bestFit="1" customWidth="1"/>
    <col min="4346" max="4346" width="16" style="471" customWidth="1"/>
    <col min="4347" max="4347" width="13.44140625" style="471" customWidth="1"/>
    <col min="4348" max="4348" width="13" style="471" customWidth="1"/>
    <col min="4349" max="4349" width="13.109375" style="471" bestFit="1" customWidth="1"/>
    <col min="4350" max="4357" width="11.33203125" style="471" bestFit="1" customWidth="1"/>
    <col min="4358" max="4358" width="11.33203125" style="471" customWidth="1"/>
    <col min="4359" max="4359" width="13.109375" style="471" bestFit="1" customWidth="1"/>
    <col min="4360" max="4360" width="10" style="471" bestFit="1" customWidth="1"/>
    <col min="4361" max="4361" width="13.109375" style="471" bestFit="1" customWidth="1"/>
    <col min="4362" max="4595" width="8.88671875" style="471"/>
    <col min="4596" max="4596" width="7.88671875" style="471" customWidth="1"/>
    <col min="4597" max="4597" width="68.44140625" style="471" customWidth="1"/>
    <col min="4598" max="4598" width="14.6640625" style="471" customWidth="1"/>
    <col min="4599" max="4599" width="18" style="471" customWidth="1"/>
    <col min="4600" max="4600" width="28" style="471" customWidth="1"/>
    <col min="4601" max="4601" width="11.88671875" style="471" bestFit="1" customWidth="1"/>
    <col min="4602" max="4602" width="16" style="471" customWidth="1"/>
    <col min="4603" max="4603" width="13.44140625" style="471" customWidth="1"/>
    <col min="4604" max="4604" width="13" style="471" customWidth="1"/>
    <col min="4605" max="4605" width="13.109375" style="471" bestFit="1" customWidth="1"/>
    <col min="4606" max="4613" width="11.33203125" style="471" bestFit="1" customWidth="1"/>
    <col min="4614" max="4614" width="11.33203125" style="471" customWidth="1"/>
    <col min="4615" max="4615" width="13.109375" style="471" bestFit="1" customWidth="1"/>
    <col min="4616" max="4616" width="10" style="471" bestFit="1" customWidth="1"/>
    <col min="4617" max="4617" width="13.109375" style="471" bestFit="1" customWidth="1"/>
    <col min="4618" max="4851" width="8.88671875" style="471"/>
    <col min="4852" max="4852" width="7.88671875" style="471" customWidth="1"/>
    <col min="4853" max="4853" width="68.44140625" style="471" customWidth="1"/>
    <col min="4854" max="4854" width="14.6640625" style="471" customWidth="1"/>
    <col min="4855" max="4855" width="18" style="471" customWidth="1"/>
    <col min="4856" max="4856" width="28" style="471" customWidth="1"/>
    <col min="4857" max="4857" width="11.88671875" style="471" bestFit="1" customWidth="1"/>
    <col min="4858" max="4858" width="16" style="471" customWidth="1"/>
    <col min="4859" max="4859" width="13.44140625" style="471" customWidth="1"/>
    <col min="4860" max="4860" width="13" style="471" customWidth="1"/>
    <col min="4861" max="4861" width="13.109375" style="471" bestFit="1" customWidth="1"/>
    <col min="4862" max="4869" width="11.33203125" style="471" bestFit="1" customWidth="1"/>
    <col min="4870" max="4870" width="11.33203125" style="471" customWidth="1"/>
    <col min="4871" max="4871" width="13.109375" style="471" bestFit="1" customWidth="1"/>
    <col min="4872" max="4872" width="10" style="471" bestFit="1" customWidth="1"/>
    <col min="4873" max="4873" width="13.109375" style="471" bestFit="1" customWidth="1"/>
    <col min="4874" max="5107" width="8.88671875" style="471"/>
    <col min="5108" max="5108" width="7.88671875" style="471" customWidth="1"/>
    <col min="5109" max="5109" width="68.44140625" style="471" customWidth="1"/>
    <col min="5110" max="5110" width="14.6640625" style="471" customWidth="1"/>
    <col min="5111" max="5111" width="18" style="471" customWidth="1"/>
    <col min="5112" max="5112" width="28" style="471" customWidth="1"/>
    <col min="5113" max="5113" width="11.88671875" style="471" bestFit="1" customWidth="1"/>
    <col min="5114" max="5114" width="16" style="471" customWidth="1"/>
    <col min="5115" max="5115" width="13.44140625" style="471" customWidth="1"/>
    <col min="5116" max="5116" width="13" style="471" customWidth="1"/>
    <col min="5117" max="5117" width="13.109375" style="471" bestFit="1" customWidth="1"/>
    <col min="5118" max="5125" width="11.33203125" style="471" bestFit="1" customWidth="1"/>
    <col min="5126" max="5126" width="11.33203125" style="471" customWidth="1"/>
    <col min="5127" max="5127" width="13.109375" style="471" bestFit="1" customWidth="1"/>
    <col min="5128" max="5128" width="10" style="471" bestFit="1" customWidth="1"/>
    <col min="5129" max="5129" width="13.109375" style="471" bestFit="1" customWidth="1"/>
    <col min="5130" max="5363" width="8.88671875" style="471"/>
    <col min="5364" max="5364" width="7.88671875" style="471" customWidth="1"/>
    <col min="5365" max="5365" width="68.44140625" style="471" customWidth="1"/>
    <col min="5366" max="5366" width="14.6640625" style="471" customWidth="1"/>
    <col min="5367" max="5367" width="18" style="471" customWidth="1"/>
    <col min="5368" max="5368" width="28" style="471" customWidth="1"/>
    <col min="5369" max="5369" width="11.88671875" style="471" bestFit="1" customWidth="1"/>
    <col min="5370" max="5370" width="16" style="471" customWidth="1"/>
    <col min="5371" max="5371" width="13.44140625" style="471" customWidth="1"/>
    <col min="5372" max="5372" width="13" style="471" customWidth="1"/>
    <col min="5373" max="5373" width="13.109375" style="471" bestFit="1" customWidth="1"/>
    <col min="5374" max="5381" width="11.33203125" style="471" bestFit="1" customWidth="1"/>
    <col min="5382" max="5382" width="11.33203125" style="471" customWidth="1"/>
    <col min="5383" max="5383" width="13.109375" style="471" bestFit="1" customWidth="1"/>
    <col min="5384" max="5384" width="10" style="471" bestFit="1" customWidth="1"/>
    <col min="5385" max="5385" width="13.109375" style="471" bestFit="1" customWidth="1"/>
    <col min="5386" max="5619" width="8.88671875" style="471"/>
    <col min="5620" max="5620" width="7.88671875" style="471" customWidth="1"/>
    <col min="5621" max="5621" width="68.44140625" style="471" customWidth="1"/>
    <col min="5622" max="5622" width="14.6640625" style="471" customWidth="1"/>
    <col min="5623" max="5623" width="18" style="471" customWidth="1"/>
    <col min="5624" max="5624" width="28" style="471" customWidth="1"/>
    <col min="5625" max="5625" width="11.88671875" style="471" bestFit="1" customWidth="1"/>
    <col min="5626" max="5626" width="16" style="471" customWidth="1"/>
    <col min="5627" max="5627" width="13.44140625" style="471" customWidth="1"/>
    <col min="5628" max="5628" width="13" style="471" customWidth="1"/>
    <col min="5629" max="5629" width="13.109375" style="471" bestFit="1" customWidth="1"/>
    <col min="5630" max="5637" width="11.33203125" style="471" bestFit="1" customWidth="1"/>
    <col min="5638" max="5638" width="11.33203125" style="471" customWidth="1"/>
    <col min="5639" max="5639" width="13.109375" style="471" bestFit="1" customWidth="1"/>
    <col min="5640" max="5640" width="10" style="471" bestFit="1" customWidth="1"/>
    <col min="5641" max="5641" width="13.109375" style="471" bestFit="1" customWidth="1"/>
    <col min="5642" max="5875" width="8.88671875" style="471"/>
    <col min="5876" max="5876" width="7.88671875" style="471" customWidth="1"/>
    <col min="5877" max="5877" width="68.44140625" style="471" customWidth="1"/>
    <col min="5878" max="5878" width="14.6640625" style="471" customWidth="1"/>
    <col min="5879" max="5879" width="18" style="471" customWidth="1"/>
    <col min="5880" max="5880" width="28" style="471" customWidth="1"/>
    <col min="5881" max="5881" width="11.88671875" style="471" bestFit="1" customWidth="1"/>
    <col min="5882" max="5882" width="16" style="471" customWidth="1"/>
    <col min="5883" max="5883" width="13.44140625" style="471" customWidth="1"/>
    <col min="5884" max="5884" width="13" style="471" customWidth="1"/>
    <col min="5885" max="5885" width="13.109375" style="471" bestFit="1" customWidth="1"/>
    <col min="5886" max="5893" width="11.33203125" style="471" bestFit="1" customWidth="1"/>
    <col min="5894" max="5894" width="11.33203125" style="471" customWidth="1"/>
    <col min="5895" max="5895" width="13.109375" style="471" bestFit="1" customWidth="1"/>
    <col min="5896" max="5896" width="10" style="471" bestFit="1" customWidth="1"/>
    <col min="5897" max="5897" width="13.109375" style="471" bestFit="1" customWidth="1"/>
    <col min="5898" max="6131" width="8.88671875" style="471"/>
    <col min="6132" max="6132" width="7.88671875" style="471" customWidth="1"/>
    <col min="6133" max="6133" width="68.44140625" style="471" customWidth="1"/>
    <col min="6134" max="6134" width="14.6640625" style="471" customWidth="1"/>
    <col min="6135" max="6135" width="18" style="471" customWidth="1"/>
    <col min="6136" max="6136" width="28" style="471" customWidth="1"/>
    <col min="6137" max="6137" width="11.88671875" style="471" bestFit="1" customWidth="1"/>
    <col min="6138" max="6138" width="16" style="471" customWidth="1"/>
    <col min="6139" max="6139" width="13.44140625" style="471" customWidth="1"/>
    <col min="6140" max="6140" width="13" style="471" customWidth="1"/>
    <col min="6141" max="6141" width="13.109375" style="471" bestFit="1" customWidth="1"/>
    <col min="6142" max="6149" width="11.33203125" style="471" bestFit="1" customWidth="1"/>
    <col min="6150" max="6150" width="11.33203125" style="471" customWidth="1"/>
    <col min="6151" max="6151" width="13.109375" style="471" bestFit="1" customWidth="1"/>
    <col min="6152" max="6152" width="10" style="471" bestFit="1" customWidth="1"/>
    <col min="6153" max="6153" width="13.109375" style="471" bestFit="1" customWidth="1"/>
    <col min="6154" max="6387" width="8.88671875" style="471"/>
    <col min="6388" max="6388" width="7.88671875" style="471" customWidth="1"/>
    <col min="6389" max="6389" width="68.44140625" style="471" customWidth="1"/>
    <col min="6390" max="6390" width="14.6640625" style="471" customWidth="1"/>
    <col min="6391" max="6391" width="18" style="471" customWidth="1"/>
    <col min="6392" max="6392" width="28" style="471" customWidth="1"/>
    <col min="6393" max="6393" width="11.88671875" style="471" bestFit="1" customWidth="1"/>
    <col min="6394" max="6394" width="16" style="471" customWidth="1"/>
    <col min="6395" max="6395" width="13.44140625" style="471" customWidth="1"/>
    <col min="6396" max="6396" width="13" style="471" customWidth="1"/>
    <col min="6397" max="6397" width="13.109375" style="471" bestFit="1" customWidth="1"/>
    <col min="6398" max="6405" width="11.33203125" style="471" bestFit="1" customWidth="1"/>
    <col min="6406" max="6406" width="11.33203125" style="471" customWidth="1"/>
    <col min="6407" max="6407" width="13.109375" style="471" bestFit="1" customWidth="1"/>
    <col min="6408" max="6408" width="10" style="471" bestFit="1" customWidth="1"/>
    <col min="6409" max="6409" width="13.109375" style="471" bestFit="1" customWidth="1"/>
    <col min="6410" max="6643" width="8.88671875" style="471"/>
    <col min="6644" max="6644" width="7.88671875" style="471" customWidth="1"/>
    <col min="6645" max="6645" width="68.44140625" style="471" customWidth="1"/>
    <col min="6646" max="6646" width="14.6640625" style="471" customWidth="1"/>
    <col min="6647" max="6647" width="18" style="471" customWidth="1"/>
    <col min="6648" max="6648" width="28" style="471" customWidth="1"/>
    <col min="6649" max="6649" width="11.88671875" style="471" bestFit="1" customWidth="1"/>
    <col min="6650" max="6650" width="16" style="471" customWidth="1"/>
    <col min="6651" max="6651" width="13.44140625" style="471" customWidth="1"/>
    <col min="6652" max="6652" width="13" style="471" customWidth="1"/>
    <col min="6653" max="6653" width="13.109375" style="471" bestFit="1" customWidth="1"/>
    <col min="6654" max="6661" width="11.33203125" style="471" bestFit="1" customWidth="1"/>
    <col min="6662" max="6662" width="11.33203125" style="471" customWidth="1"/>
    <col min="6663" max="6663" width="13.109375" style="471" bestFit="1" customWidth="1"/>
    <col min="6664" max="6664" width="10" style="471" bestFit="1" customWidth="1"/>
    <col min="6665" max="6665" width="13.109375" style="471" bestFit="1" customWidth="1"/>
    <col min="6666" max="6899" width="8.88671875" style="471"/>
    <col min="6900" max="6900" width="7.88671875" style="471" customWidth="1"/>
    <col min="6901" max="6901" width="68.44140625" style="471" customWidth="1"/>
    <col min="6902" max="6902" width="14.6640625" style="471" customWidth="1"/>
    <col min="6903" max="6903" width="18" style="471" customWidth="1"/>
    <col min="6904" max="6904" width="28" style="471" customWidth="1"/>
    <col min="6905" max="6905" width="11.88671875" style="471" bestFit="1" customWidth="1"/>
    <col min="6906" max="6906" width="16" style="471" customWidth="1"/>
    <col min="6907" max="6907" width="13.44140625" style="471" customWidth="1"/>
    <col min="6908" max="6908" width="13" style="471" customWidth="1"/>
    <col min="6909" max="6909" width="13.109375" style="471" bestFit="1" customWidth="1"/>
    <col min="6910" max="6917" width="11.33203125" style="471" bestFit="1" customWidth="1"/>
    <col min="6918" max="6918" width="11.33203125" style="471" customWidth="1"/>
    <col min="6919" max="6919" width="13.109375" style="471" bestFit="1" customWidth="1"/>
    <col min="6920" max="6920" width="10" style="471" bestFit="1" customWidth="1"/>
    <col min="6921" max="6921" width="13.109375" style="471" bestFit="1" customWidth="1"/>
    <col min="6922" max="7155" width="8.88671875" style="471"/>
    <col min="7156" max="7156" width="7.88671875" style="471" customWidth="1"/>
    <col min="7157" max="7157" width="68.44140625" style="471" customWidth="1"/>
    <col min="7158" max="7158" width="14.6640625" style="471" customWidth="1"/>
    <col min="7159" max="7159" width="18" style="471" customWidth="1"/>
    <col min="7160" max="7160" width="28" style="471" customWidth="1"/>
    <col min="7161" max="7161" width="11.88671875" style="471" bestFit="1" customWidth="1"/>
    <col min="7162" max="7162" width="16" style="471" customWidth="1"/>
    <col min="7163" max="7163" width="13.44140625" style="471" customWidth="1"/>
    <col min="7164" max="7164" width="13" style="471" customWidth="1"/>
    <col min="7165" max="7165" width="13.109375" style="471" bestFit="1" customWidth="1"/>
    <col min="7166" max="7173" width="11.33203125" style="471" bestFit="1" customWidth="1"/>
    <col min="7174" max="7174" width="11.33203125" style="471" customWidth="1"/>
    <col min="7175" max="7175" width="13.109375" style="471" bestFit="1" customWidth="1"/>
    <col min="7176" max="7176" width="10" style="471" bestFit="1" customWidth="1"/>
    <col min="7177" max="7177" width="13.109375" style="471" bestFit="1" customWidth="1"/>
    <col min="7178" max="7411" width="8.88671875" style="471"/>
    <col min="7412" max="7412" width="7.88671875" style="471" customWidth="1"/>
    <col min="7413" max="7413" width="68.44140625" style="471" customWidth="1"/>
    <col min="7414" max="7414" width="14.6640625" style="471" customWidth="1"/>
    <col min="7415" max="7415" width="18" style="471" customWidth="1"/>
    <col min="7416" max="7416" width="28" style="471" customWidth="1"/>
    <col min="7417" max="7417" width="11.88671875" style="471" bestFit="1" customWidth="1"/>
    <col min="7418" max="7418" width="16" style="471" customWidth="1"/>
    <col min="7419" max="7419" width="13.44140625" style="471" customWidth="1"/>
    <col min="7420" max="7420" width="13" style="471" customWidth="1"/>
    <col min="7421" max="7421" width="13.109375" style="471" bestFit="1" customWidth="1"/>
    <col min="7422" max="7429" width="11.33203125" style="471" bestFit="1" customWidth="1"/>
    <col min="7430" max="7430" width="11.33203125" style="471" customWidth="1"/>
    <col min="7431" max="7431" width="13.109375" style="471" bestFit="1" customWidth="1"/>
    <col min="7432" max="7432" width="10" style="471" bestFit="1" customWidth="1"/>
    <col min="7433" max="7433" width="13.109375" style="471" bestFit="1" customWidth="1"/>
    <col min="7434" max="7667" width="8.88671875" style="471"/>
    <col min="7668" max="7668" width="7.88671875" style="471" customWidth="1"/>
    <col min="7669" max="7669" width="68.44140625" style="471" customWidth="1"/>
    <col min="7670" max="7670" width="14.6640625" style="471" customWidth="1"/>
    <col min="7671" max="7671" width="18" style="471" customWidth="1"/>
    <col min="7672" max="7672" width="28" style="471" customWidth="1"/>
    <col min="7673" max="7673" width="11.88671875" style="471" bestFit="1" customWidth="1"/>
    <col min="7674" max="7674" width="16" style="471" customWidth="1"/>
    <col min="7675" max="7675" width="13.44140625" style="471" customWidth="1"/>
    <col min="7676" max="7676" width="13" style="471" customWidth="1"/>
    <col min="7677" max="7677" width="13.109375" style="471" bestFit="1" customWidth="1"/>
    <col min="7678" max="7685" width="11.33203125" style="471" bestFit="1" customWidth="1"/>
    <col min="7686" max="7686" width="11.33203125" style="471" customWidth="1"/>
    <col min="7687" max="7687" width="13.109375" style="471" bestFit="1" customWidth="1"/>
    <col min="7688" max="7688" width="10" style="471" bestFit="1" customWidth="1"/>
    <col min="7689" max="7689" width="13.109375" style="471" bestFit="1" customWidth="1"/>
    <col min="7690" max="7923" width="8.88671875" style="471"/>
    <col min="7924" max="7924" width="7.88671875" style="471" customWidth="1"/>
    <col min="7925" max="7925" width="68.44140625" style="471" customWidth="1"/>
    <col min="7926" max="7926" width="14.6640625" style="471" customWidth="1"/>
    <col min="7927" max="7927" width="18" style="471" customWidth="1"/>
    <col min="7928" max="7928" width="28" style="471" customWidth="1"/>
    <col min="7929" max="7929" width="11.88671875" style="471" bestFit="1" customWidth="1"/>
    <col min="7930" max="7930" width="16" style="471" customWidth="1"/>
    <col min="7931" max="7931" width="13.44140625" style="471" customWidth="1"/>
    <col min="7932" max="7932" width="13" style="471" customWidth="1"/>
    <col min="7933" max="7933" width="13.109375" style="471" bestFit="1" customWidth="1"/>
    <col min="7934" max="7941" width="11.33203125" style="471" bestFit="1" customWidth="1"/>
    <col min="7942" max="7942" width="11.33203125" style="471" customWidth="1"/>
    <col min="7943" max="7943" width="13.109375" style="471" bestFit="1" customWidth="1"/>
    <col min="7944" max="7944" width="10" style="471" bestFit="1" customWidth="1"/>
    <col min="7945" max="7945" width="13.109375" style="471" bestFit="1" customWidth="1"/>
    <col min="7946" max="8179" width="8.88671875" style="471"/>
    <col min="8180" max="8180" width="7.88671875" style="471" customWidth="1"/>
    <col min="8181" max="8181" width="68.44140625" style="471" customWidth="1"/>
    <col min="8182" max="8182" width="14.6640625" style="471" customWidth="1"/>
    <col min="8183" max="8183" width="18" style="471" customWidth="1"/>
    <col min="8184" max="8184" width="28" style="471" customWidth="1"/>
    <col min="8185" max="8185" width="11.88671875" style="471" bestFit="1" customWidth="1"/>
    <col min="8186" max="8186" width="16" style="471" customWidth="1"/>
    <col min="8187" max="8187" width="13.44140625" style="471" customWidth="1"/>
    <col min="8188" max="8188" width="13" style="471" customWidth="1"/>
    <col min="8189" max="8189" width="13.109375" style="471" bestFit="1" customWidth="1"/>
    <col min="8190" max="8197" width="11.33203125" style="471" bestFit="1" customWidth="1"/>
    <col min="8198" max="8198" width="11.33203125" style="471" customWidth="1"/>
    <col min="8199" max="8199" width="13.109375" style="471" bestFit="1" customWidth="1"/>
    <col min="8200" max="8200" width="10" style="471" bestFit="1" customWidth="1"/>
    <col min="8201" max="8201" width="13.109375" style="471" bestFit="1" customWidth="1"/>
    <col min="8202" max="8435" width="8.88671875" style="471"/>
    <col min="8436" max="8436" width="7.88671875" style="471" customWidth="1"/>
    <col min="8437" max="8437" width="68.44140625" style="471" customWidth="1"/>
    <col min="8438" max="8438" width="14.6640625" style="471" customWidth="1"/>
    <col min="8439" max="8439" width="18" style="471" customWidth="1"/>
    <col min="8440" max="8440" width="28" style="471" customWidth="1"/>
    <col min="8441" max="8441" width="11.88671875" style="471" bestFit="1" customWidth="1"/>
    <col min="8442" max="8442" width="16" style="471" customWidth="1"/>
    <col min="8443" max="8443" width="13.44140625" style="471" customWidth="1"/>
    <col min="8444" max="8444" width="13" style="471" customWidth="1"/>
    <col min="8445" max="8445" width="13.109375" style="471" bestFit="1" customWidth="1"/>
    <col min="8446" max="8453" width="11.33203125" style="471" bestFit="1" customWidth="1"/>
    <col min="8454" max="8454" width="11.33203125" style="471" customWidth="1"/>
    <col min="8455" max="8455" width="13.109375" style="471" bestFit="1" customWidth="1"/>
    <col min="8456" max="8456" width="10" style="471" bestFit="1" customWidth="1"/>
    <col min="8457" max="8457" width="13.109375" style="471" bestFit="1" customWidth="1"/>
    <col min="8458" max="8691" width="8.88671875" style="471"/>
    <col min="8692" max="8692" width="7.88671875" style="471" customWidth="1"/>
    <col min="8693" max="8693" width="68.44140625" style="471" customWidth="1"/>
    <col min="8694" max="8694" width="14.6640625" style="471" customWidth="1"/>
    <col min="8695" max="8695" width="18" style="471" customWidth="1"/>
    <col min="8696" max="8696" width="28" style="471" customWidth="1"/>
    <col min="8697" max="8697" width="11.88671875" style="471" bestFit="1" customWidth="1"/>
    <col min="8698" max="8698" width="16" style="471" customWidth="1"/>
    <col min="8699" max="8699" width="13.44140625" style="471" customWidth="1"/>
    <col min="8700" max="8700" width="13" style="471" customWidth="1"/>
    <col min="8701" max="8701" width="13.109375" style="471" bestFit="1" customWidth="1"/>
    <col min="8702" max="8709" width="11.33203125" style="471" bestFit="1" customWidth="1"/>
    <col min="8710" max="8710" width="11.33203125" style="471" customWidth="1"/>
    <col min="8711" max="8711" width="13.109375" style="471" bestFit="1" customWidth="1"/>
    <col min="8712" max="8712" width="10" style="471" bestFit="1" customWidth="1"/>
    <col min="8713" max="8713" width="13.109375" style="471" bestFit="1" customWidth="1"/>
    <col min="8714" max="8947" width="8.88671875" style="471"/>
    <col min="8948" max="8948" width="7.88671875" style="471" customWidth="1"/>
    <col min="8949" max="8949" width="68.44140625" style="471" customWidth="1"/>
    <col min="8950" max="8950" width="14.6640625" style="471" customWidth="1"/>
    <col min="8951" max="8951" width="18" style="471" customWidth="1"/>
    <col min="8952" max="8952" width="28" style="471" customWidth="1"/>
    <col min="8953" max="8953" width="11.88671875" style="471" bestFit="1" customWidth="1"/>
    <col min="8954" max="8954" width="16" style="471" customWidth="1"/>
    <col min="8955" max="8955" width="13.44140625" style="471" customWidth="1"/>
    <col min="8956" max="8956" width="13" style="471" customWidth="1"/>
    <col min="8957" max="8957" width="13.109375" style="471" bestFit="1" customWidth="1"/>
    <col min="8958" max="8965" width="11.33203125" style="471" bestFit="1" customWidth="1"/>
    <col min="8966" max="8966" width="11.33203125" style="471" customWidth="1"/>
    <col min="8967" max="8967" width="13.109375" style="471" bestFit="1" customWidth="1"/>
    <col min="8968" max="8968" width="10" style="471" bestFit="1" customWidth="1"/>
    <col min="8969" max="8969" width="13.109375" style="471" bestFit="1" customWidth="1"/>
    <col min="8970" max="9203" width="8.88671875" style="471"/>
    <col min="9204" max="9204" width="7.88671875" style="471" customWidth="1"/>
    <col min="9205" max="9205" width="68.44140625" style="471" customWidth="1"/>
    <col min="9206" max="9206" width="14.6640625" style="471" customWidth="1"/>
    <col min="9207" max="9207" width="18" style="471" customWidth="1"/>
    <col min="9208" max="9208" width="28" style="471" customWidth="1"/>
    <col min="9209" max="9209" width="11.88671875" style="471" bestFit="1" customWidth="1"/>
    <col min="9210" max="9210" width="16" style="471" customWidth="1"/>
    <col min="9211" max="9211" width="13.44140625" style="471" customWidth="1"/>
    <col min="9212" max="9212" width="13" style="471" customWidth="1"/>
    <col min="9213" max="9213" width="13.109375" style="471" bestFit="1" customWidth="1"/>
    <col min="9214" max="9221" width="11.33203125" style="471" bestFit="1" customWidth="1"/>
    <col min="9222" max="9222" width="11.33203125" style="471" customWidth="1"/>
    <col min="9223" max="9223" width="13.109375" style="471" bestFit="1" customWidth="1"/>
    <col min="9224" max="9224" width="10" style="471" bestFit="1" customWidth="1"/>
    <col min="9225" max="9225" width="13.109375" style="471" bestFit="1" customWidth="1"/>
    <col min="9226" max="9459" width="8.88671875" style="471"/>
    <col min="9460" max="9460" width="7.88671875" style="471" customWidth="1"/>
    <col min="9461" max="9461" width="68.44140625" style="471" customWidth="1"/>
    <col min="9462" max="9462" width="14.6640625" style="471" customWidth="1"/>
    <col min="9463" max="9463" width="18" style="471" customWidth="1"/>
    <col min="9464" max="9464" width="28" style="471" customWidth="1"/>
    <col min="9465" max="9465" width="11.88671875" style="471" bestFit="1" customWidth="1"/>
    <col min="9466" max="9466" width="16" style="471" customWidth="1"/>
    <col min="9467" max="9467" width="13.44140625" style="471" customWidth="1"/>
    <col min="9468" max="9468" width="13" style="471" customWidth="1"/>
    <col min="9469" max="9469" width="13.109375" style="471" bestFit="1" customWidth="1"/>
    <col min="9470" max="9477" width="11.33203125" style="471" bestFit="1" customWidth="1"/>
    <col min="9478" max="9478" width="11.33203125" style="471" customWidth="1"/>
    <col min="9479" max="9479" width="13.109375" style="471" bestFit="1" customWidth="1"/>
    <col min="9480" max="9480" width="10" style="471" bestFit="1" customWidth="1"/>
    <col min="9481" max="9481" width="13.109375" style="471" bestFit="1" customWidth="1"/>
    <col min="9482" max="9715" width="8.88671875" style="471"/>
    <col min="9716" max="9716" width="7.88671875" style="471" customWidth="1"/>
    <col min="9717" max="9717" width="68.44140625" style="471" customWidth="1"/>
    <col min="9718" max="9718" width="14.6640625" style="471" customWidth="1"/>
    <col min="9719" max="9719" width="18" style="471" customWidth="1"/>
    <col min="9720" max="9720" width="28" style="471" customWidth="1"/>
    <col min="9721" max="9721" width="11.88671875" style="471" bestFit="1" customWidth="1"/>
    <col min="9722" max="9722" width="16" style="471" customWidth="1"/>
    <col min="9723" max="9723" width="13.44140625" style="471" customWidth="1"/>
    <col min="9724" max="9724" width="13" style="471" customWidth="1"/>
    <col min="9725" max="9725" width="13.109375" style="471" bestFit="1" customWidth="1"/>
    <col min="9726" max="9733" width="11.33203125" style="471" bestFit="1" customWidth="1"/>
    <col min="9734" max="9734" width="11.33203125" style="471" customWidth="1"/>
    <col min="9735" max="9735" width="13.109375" style="471" bestFit="1" customWidth="1"/>
    <col min="9736" max="9736" width="10" style="471" bestFit="1" customWidth="1"/>
    <col min="9737" max="9737" width="13.109375" style="471" bestFit="1" customWidth="1"/>
    <col min="9738" max="9971" width="8.88671875" style="471"/>
    <col min="9972" max="9972" width="7.88671875" style="471" customWidth="1"/>
    <col min="9973" max="9973" width="68.44140625" style="471" customWidth="1"/>
    <col min="9974" max="9974" width="14.6640625" style="471" customWidth="1"/>
    <col min="9975" max="9975" width="18" style="471" customWidth="1"/>
    <col min="9976" max="9976" width="28" style="471" customWidth="1"/>
    <col min="9977" max="9977" width="11.88671875" style="471" bestFit="1" customWidth="1"/>
    <col min="9978" max="9978" width="16" style="471" customWidth="1"/>
    <col min="9979" max="9979" width="13.44140625" style="471" customWidth="1"/>
    <col min="9980" max="9980" width="13" style="471" customWidth="1"/>
    <col min="9981" max="9981" width="13.109375" style="471" bestFit="1" customWidth="1"/>
    <col min="9982" max="9989" width="11.33203125" style="471" bestFit="1" customWidth="1"/>
    <col min="9990" max="9990" width="11.33203125" style="471" customWidth="1"/>
    <col min="9991" max="9991" width="13.109375" style="471" bestFit="1" customWidth="1"/>
    <col min="9992" max="9992" width="10" style="471" bestFit="1" customWidth="1"/>
    <col min="9993" max="9993" width="13.109375" style="471" bestFit="1" customWidth="1"/>
    <col min="9994" max="10227" width="8.88671875" style="471"/>
    <col min="10228" max="10228" width="7.88671875" style="471" customWidth="1"/>
    <col min="10229" max="10229" width="68.44140625" style="471" customWidth="1"/>
    <col min="10230" max="10230" width="14.6640625" style="471" customWidth="1"/>
    <col min="10231" max="10231" width="18" style="471" customWidth="1"/>
    <col min="10232" max="10232" width="28" style="471" customWidth="1"/>
    <col min="10233" max="10233" width="11.88671875" style="471" bestFit="1" customWidth="1"/>
    <col min="10234" max="10234" width="16" style="471" customWidth="1"/>
    <col min="10235" max="10235" width="13.44140625" style="471" customWidth="1"/>
    <col min="10236" max="10236" width="13" style="471" customWidth="1"/>
    <col min="10237" max="10237" width="13.109375" style="471" bestFit="1" customWidth="1"/>
    <col min="10238" max="10245" width="11.33203125" style="471" bestFit="1" customWidth="1"/>
    <col min="10246" max="10246" width="11.33203125" style="471" customWidth="1"/>
    <col min="10247" max="10247" width="13.109375" style="471" bestFit="1" customWidth="1"/>
    <col min="10248" max="10248" width="10" style="471" bestFit="1" customWidth="1"/>
    <col min="10249" max="10249" width="13.109375" style="471" bestFit="1" customWidth="1"/>
    <col min="10250" max="10483" width="8.88671875" style="471"/>
    <col min="10484" max="10484" width="7.88671875" style="471" customWidth="1"/>
    <col min="10485" max="10485" width="68.44140625" style="471" customWidth="1"/>
    <col min="10486" max="10486" width="14.6640625" style="471" customWidth="1"/>
    <col min="10487" max="10487" width="18" style="471" customWidth="1"/>
    <col min="10488" max="10488" width="28" style="471" customWidth="1"/>
    <col min="10489" max="10489" width="11.88671875" style="471" bestFit="1" customWidth="1"/>
    <col min="10490" max="10490" width="16" style="471" customWidth="1"/>
    <col min="10491" max="10491" width="13.44140625" style="471" customWidth="1"/>
    <col min="10492" max="10492" width="13" style="471" customWidth="1"/>
    <col min="10493" max="10493" width="13.109375" style="471" bestFit="1" customWidth="1"/>
    <col min="10494" max="10501" width="11.33203125" style="471" bestFit="1" customWidth="1"/>
    <col min="10502" max="10502" width="11.33203125" style="471" customWidth="1"/>
    <col min="10503" max="10503" width="13.109375" style="471" bestFit="1" customWidth="1"/>
    <col min="10504" max="10504" width="10" style="471" bestFit="1" customWidth="1"/>
    <col min="10505" max="10505" width="13.109375" style="471" bestFit="1" customWidth="1"/>
    <col min="10506" max="10739" width="8.88671875" style="471"/>
    <col min="10740" max="10740" width="7.88671875" style="471" customWidth="1"/>
    <col min="10741" max="10741" width="68.44140625" style="471" customWidth="1"/>
    <col min="10742" max="10742" width="14.6640625" style="471" customWidth="1"/>
    <col min="10743" max="10743" width="18" style="471" customWidth="1"/>
    <col min="10744" max="10744" width="28" style="471" customWidth="1"/>
    <col min="10745" max="10745" width="11.88671875" style="471" bestFit="1" customWidth="1"/>
    <col min="10746" max="10746" width="16" style="471" customWidth="1"/>
    <col min="10747" max="10747" width="13.44140625" style="471" customWidth="1"/>
    <col min="10748" max="10748" width="13" style="471" customWidth="1"/>
    <col min="10749" max="10749" width="13.109375" style="471" bestFit="1" customWidth="1"/>
    <col min="10750" max="10757" width="11.33203125" style="471" bestFit="1" customWidth="1"/>
    <col min="10758" max="10758" width="11.33203125" style="471" customWidth="1"/>
    <col min="10759" max="10759" width="13.109375" style="471" bestFit="1" customWidth="1"/>
    <col min="10760" max="10760" width="10" style="471" bestFit="1" customWidth="1"/>
    <col min="10761" max="10761" width="13.109375" style="471" bestFit="1" customWidth="1"/>
    <col min="10762" max="10995" width="8.88671875" style="471"/>
    <col min="10996" max="10996" width="7.88671875" style="471" customWidth="1"/>
    <col min="10997" max="10997" width="68.44140625" style="471" customWidth="1"/>
    <col min="10998" max="10998" width="14.6640625" style="471" customWidth="1"/>
    <col min="10999" max="10999" width="18" style="471" customWidth="1"/>
    <col min="11000" max="11000" width="28" style="471" customWidth="1"/>
    <col min="11001" max="11001" width="11.88671875" style="471" bestFit="1" customWidth="1"/>
    <col min="11002" max="11002" width="16" style="471" customWidth="1"/>
    <col min="11003" max="11003" width="13.44140625" style="471" customWidth="1"/>
    <col min="11004" max="11004" width="13" style="471" customWidth="1"/>
    <col min="11005" max="11005" width="13.109375" style="471" bestFit="1" customWidth="1"/>
    <col min="11006" max="11013" width="11.33203125" style="471" bestFit="1" customWidth="1"/>
    <col min="11014" max="11014" width="11.33203125" style="471" customWidth="1"/>
    <col min="11015" max="11015" width="13.109375" style="471" bestFit="1" customWidth="1"/>
    <col min="11016" max="11016" width="10" style="471" bestFit="1" customWidth="1"/>
    <col min="11017" max="11017" width="13.109375" style="471" bestFit="1" customWidth="1"/>
    <col min="11018" max="11251" width="8.88671875" style="471"/>
    <col min="11252" max="11252" width="7.88671875" style="471" customWidth="1"/>
    <col min="11253" max="11253" width="68.44140625" style="471" customWidth="1"/>
    <col min="11254" max="11254" width="14.6640625" style="471" customWidth="1"/>
    <col min="11255" max="11255" width="18" style="471" customWidth="1"/>
    <col min="11256" max="11256" width="28" style="471" customWidth="1"/>
    <col min="11257" max="11257" width="11.88671875" style="471" bestFit="1" customWidth="1"/>
    <col min="11258" max="11258" width="16" style="471" customWidth="1"/>
    <col min="11259" max="11259" width="13.44140625" style="471" customWidth="1"/>
    <col min="11260" max="11260" width="13" style="471" customWidth="1"/>
    <col min="11261" max="11261" width="13.109375" style="471" bestFit="1" customWidth="1"/>
    <col min="11262" max="11269" width="11.33203125" style="471" bestFit="1" customWidth="1"/>
    <col min="11270" max="11270" width="11.33203125" style="471" customWidth="1"/>
    <col min="11271" max="11271" width="13.109375" style="471" bestFit="1" customWidth="1"/>
    <col min="11272" max="11272" width="10" style="471" bestFit="1" customWidth="1"/>
    <col min="11273" max="11273" width="13.109375" style="471" bestFit="1" customWidth="1"/>
    <col min="11274" max="11507" width="8.88671875" style="471"/>
    <col min="11508" max="11508" width="7.88671875" style="471" customWidth="1"/>
    <col min="11509" max="11509" width="68.44140625" style="471" customWidth="1"/>
    <col min="11510" max="11510" width="14.6640625" style="471" customWidth="1"/>
    <col min="11511" max="11511" width="18" style="471" customWidth="1"/>
    <col min="11512" max="11512" width="28" style="471" customWidth="1"/>
    <col min="11513" max="11513" width="11.88671875" style="471" bestFit="1" customWidth="1"/>
    <col min="11514" max="11514" width="16" style="471" customWidth="1"/>
    <col min="11515" max="11515" width="13.44140625" style="471" customWidth="1"/>
    <col min="11516" max="11516" width="13" style="471" customWidth="1"/>
    <col min="11517" max="11517" width="13.109375" style="471" bestFit="1" customWidth="1"/>
    <col min="11518" max="11525" width="11.33203125" style="471" bestFit="1" customWidth="1"/>
    <col min="11526" max="11526" width="11.33203125" style="471" customWidth="1"/>
    <col min="11527" max="11527" width="13.109375" style="471" bestFit="1" customWidth="1"/>
    <col min="11528" max="11528" width="10" style="471" bestFit="1" customWidth="1"/>
    <col min="11529" max="11529" width="13.109375" style="471" bestFit="1" customWidth="1"/>
    <col min="11530" max="11763" width="8.88671875" style="471"/>
    <col min="11764" max="11764" width="7.88671875" style="471" customWidth="1"/>
    <col min="11765" max="11765" width="68.44140625" style="471" customWidth="1"/>
    <col min="11766" max="11766" width="14.6640625" style="471" customWidth="1"/>
    <col min="11767" max="11767" width="18" style="471" customWidth="1"/>
    <col min="11768" max="11768" width="28" style="471" customWidth="1"/>
    <col min="11769" max="11769" width="11.88671875" style="471" bestFit="1" customWidth="1"/>
    <col min="11770" max="11770" width="16" style="471" customWidth="1"/>
    <col min="11771" max="11771" width="13.44140625" style="471" customWidth="1"/>
    <col min="11772" max="11772" width="13" style="471" customWidth="1"/>
    <col min="11773" max="11773" width="13.109375" style="471" bestFit="1" customWidth="1"/>
    <col min="11774" max="11781" width="11.33203125" style="471" bestFit="1" customWidth="1"/>
    <col min="11782" max="11782" width="11.33203125" style="471" customWidth="1"/>
    <col min="11783" max="11783" width="13.109375" style="471" bestFit="1" customWidth="1"/>
    <col min="11784" max="11784" width="10" style="471" bestFit="1" customWidth="1"/>
    <col min="11785" max="11785" width="13.109375" style="471" bestFit="1" customWidth="1"/>
    <col min="11786" max="12019" width="8.88671875" style="471"/>
    <col min="12020" max="12020" width="7.88671875" style="471" customWidth="1"/>
    <col min="12021" max="12021" width="68.44140625" style="471" customWidth="1"/>
    <col min="12022" max="12022" width="14.6640625" style="471" customWidth="1"/>
    <col min="12023" max="12023" width="18" style="471" customWidth="1"/>
    <col min="12024" max="12024" width="28" style="471" customWidth="1"/>
    <col min="12025" max="12025" width="11.88671875" style="471" bestFit="1" customWidth="1"/>
    <col min="12026" max="12026" width="16" style="471" customWidth="1"/>
    <col min="12027" max="12027" width="13.44140625" style="471" customWidth="1"/>
    <col min="12028" max="12028" width="13" style="471" customWidth="1"/>
    <col min="12029" max="12029" width="13.109375" style="471" bestFit="1" customWidth="1"/>
    <col min="12030" max="12037" width="11.33203125" style="471" bestFit="1" customWidth="1"/>
    <col min="12038" max="12038" width="11.33203125" style="471" customWidth="1"/>
    <col min="12039" max="12039" width="13.109375" style="471" bestFit="1" customWidth="1"/>
    <col min="12040" max="12040" width="10" style="471" bestFit="1" customWidth="1"/>
    <col min="12041" max="12041" width="13.109375" style="471" bestFit="1" customWidth="1"/>
    <col min="12042" max="12275" width="8.88671875" style="471"/>
    <col min="12276" max="12276" width="7.88671875" style="471" customWidth="1"/>
    <col min="12277" max="12277" width="68.44140625" style="471" customWidth="1"/>
    <col min="12278" max="12278" width="14.6640625" style="471" customWidth="1"/>
    <col min="12279" max="12279" width="18" style="471" customWidth="1"/>
    <col min="12280" max="12280" width="28" style="471" customWidth="1"/>
    <col min="12281" max="12281" width="11.88671875" style="471" bestFit="1" customWidth="1"/>
    <col min="12282" max="12282" width="16" style="471" customWidth="1"/>
    <col min="12283" max="12283" width="13.44140625" style="471" customWidth="1"/>
    <col min="12284" max="12284" width="13" style="471" customWidth="1"/>
    <col min="12285" max="12285" width="13.109375" style="471" bestFit="1" customWidth="1"/>
    <col min="12286" max="12293" width="11.33203125" style="471" bestFit="1" customWidth="1"/>
    <col min="12294" max="12294" width="11.33203125" style="471" customWidth="1"/>
    <col min="12295" max="12295" width="13.109375" style="471" bestFit="1" customWidth="1"/>
    <col min="12296" max="12296" width="10" style="471" bestFit="1" customWidth="1"/>
    <col min="12297" max="12297" width="13.109375" style="471" bestFit="1" customWidth="1"/>
    <col min="12298" max="12531" width="8.88671875" style="471"/>
    <col min="12532" max="12532" width="7.88671875" style="471" customWidth="1"/>
    <col min="12533" max="12533" width="68.44140625" style="471" customWidth="1"/>
    <col min="12534" max="12534" width="14.6640625" style="471" customWidth="1"/>
    <col min="12535" max="12535" width="18" style="471" customWidth="1"/>
    <col min="12536" max="12536" width="28" style="471" customWidth="1"/>
    <col min="12537" max="12537" width="11.88671875" style="471" bestFit="1" customWidth="1"/>
    <col min="12538" max="12538" width="16" style="471" customWidth="1"/>
    <col min="12539" max="12539" width="13.44140625" style="471" customWidth="1"/>
    <col min="12540" max="12540" width="13" style="471" customWidth="1"/>
    <col min="12541" max="12541" width="13.109375" style="471" bestFit="1" customWidth="1"/>
    <col min="12542" max="12549" width="11.33203125" style="471" bestFit="1" customWidth="1"/>
    <col min="12550" max="12550" width="11.33203125" style="471" customWidth="1"/>
    <col min="12551" max="12551" width="13.109375" style="471" bestFit="1" customWidth="1"/>
    <col min="12552" max="12552" width="10" style="471" bestFit="1" customWidth="1"/>
    <col min="12553" max="12553" width="13.109375" style="471" bestFit="1" customWidth="1"/>
    <col min="12554" max="12787" width="8.88671875" style="471"/>
    <col min="12788" max="12788" width="7.88671875" style="471" customWidth="1"/>
    <col min="12789" max="12789" width="68.44140625" style="471" customWidth="1"/>
    <col min="12790" max="12790" width="14.6640625" style="471" customWidth="1"/>
    <col min="12791" max="12791" width="18" style="471" customWidth="1"/>
    <col min="12792" max="12792" width="28" style="471" customWidth="1"/>
    <col min="12793" max="12793" width="11.88671875" style="471" bestFit="1" customWidth="1"/>
    <col min="12794" max="12794" width="16" style="471" customWidth="1"/>
    <col min="12795" max="12795" width="13.44140625" style="471" customWidth="1"/>
    <col min="12796" max="12796" width="13" style="471" customWidth="1"/>
    <col min="12797" max="12797" width="13.109375" style="471" bestFit="1" customWidth="1"/>
    <col min="12798" max="12805" width="11.33203125" style="471" bestFit="1" customWidth="1"/>
    <col min="12806" max="12806" width="11.33203125" style="471" customWidth="1"/>
    <col min="12807" max="12807" width="13.109375" style="471" bestFit="1" customWidth="1"/>
    <col min="12808" max="12808" width="10" style="471" bestFit="1" customWidth="1"/>
    <col min="12809" max="12809" width="13.109375" style="471" bestFit="1" customWidth="1"/>
    <col min="12810" max="13043" width="8.88671875" style="471"/>
    <col min="13044" max="13044" width="7.88671875" style="471" customWidth="1"/>
    <col min="13045" max="13045" width="68.44140625" style="471" customWidth="1"/>
    <col min="13046" max="13046" width="14.6640625" style="471" customWidth="1"/>
    <col min="13047" max="13047" width="18" style="471" customWidth="1"/>
    <col min="13048" max="13048" width="28" style="471" customWidth="1"/>
    <col min="13049" max="13049" width="11.88671875" style="471" bestFit="1" customWidth="1"/>
    <col min="13050" max="13050" width="16" style="471" customWidth="1"/>
    <col min="13051" max="13051" width="13.44140625" style="471" customWidth="1"/>
    <col min="13052" max="13052" width="13" style="471" customWidth="1"/>
    <col min="13053" max="13053" width="13.109375" style="471" bestFit="1" customWidth="1"/>
    <col min="13054" max="13061" width="11.33203125" style="471" bestFit="1" customWidth="1"/>
    <col min="13062" max="13062" width="11.33203125" style="471" customWidth="1"/>
    <col min="13063" max="13063" width="13.109375" style="471" bestFit="1" customWidth="1"/>
    <col min="13064" max="13064" width="10" style="471" bestFit="1" customWidth="1"/>
    <col min="13065" max="13065" width="13.109375" style="471" bestFit="1" customWidth="1"/>
    <col min="13066" max="13299" width="8.88671875" style="471"/>
    <col min="13300" max="13300" width="7.88671875" style="471" customWidth="1"/>
    <col min="13301" max="13301" width="68.44140625" style="471" customWidth="1"/>
    <col min="13302" max="13302" width="14.6640625" style="471" customWidth="1"/>
    <col min="13303" max="13303" width="18" style="471" customWidth="1"/>
    <col min="13304" max="13304" width="28" style="471" customWidth="1"/>
    <col min="13305" max="13305" width="11.88671875" style="471" bestFit="1" customWidth="1"/>
    <col min="13306" max="13306" width="16" style="471" customWidth="1"/>
    <col min="13307" max="13307" width="13.44140625" style="471" customWidth="1"/>
    <col min="13308" max="13308" width="13" style="471" customWidth="1"/>
    <col min="13309" max="13309" width="13.109375" style="471" bestFit="1" customWidth="1"/>
    <col min="13310" max="13317" width="11.33203125" style="471" bestFit="1" customWidth="1"/>
    <col min="13318" max="13318" width="11.33203125" style="471" customWidth="1"/>
    <col min="13319" max="13319" width="13.109375" style="471" bestFit="1" customWidth="1"/>
    <col min="13320" max="13320" width="10" style="471" bestFit="1" customWidth="1"/>
    <col min="13321" max="13321" width="13.109375" style="471" bestFit="1" customWidth="1"/>
    <col min="13322" max="13555" width="8.88671875" style="471"/>
    <col min="13556" max="13556" width="7.88671875" style="471" customWidth="1"/>
    <col min="13557" max="13557" width="68.44140625" style="471" customWidth="1"/>
    <col min="13558" max="13558" width="14.6640625" style="471" customWidth="1"/>
    <col min="13559" max="13559" width="18" style="471" customWidth="1"/>
    <col min="13560" max="13560" width="28" style="471" customWidth="1"/>
    <col min="13561" max="13561" width="11.88671875" style="471" bestFit="1" customWidth="1"/>
    <col min="13562" max="13562" width="16" style="471" customWidth="1"/>
    <col min="13563" max="13563" width="13.44140625" style="471" customWidth="1"/>
    <col min="13564" max="13564" width="13" style="471" customWidth="1"/>
    <col min="13565" max="13565" width="13.109375" style="471" bestFit="1" customWidth="1"/>
    <col min="13566" max="13573" width="11.33203125" style="471" bestFit="1" customWidth="1"/>
    <col min="13574" max="13574" width="11.33203125" style="471" customWidth="1"/>
    <col min="13575" max="13575" width="13.109375" style="471" bestFit="1" customWidth="1"/>
    <col min="13576" max="13576" width="10" style="471" bestFit="1" customWidth="1"/>
    <col min="13577" max="13577" width="13.109375" style="471" bestFit="1" customWidth="1"/>
    <col min="13578" max="13811" width="8.88671875" style="471"/>
    <col min="13812" max="13812" width="7.88671875" style="471" customWidth="1"/>
    <col min="13813" max="13813" width="68.44140625" style="471" customWidth="1"/>
    <col min="13814" max="13814" width="14.6640625" style="471" customWidth="1"/>
    <col min="13815" max="13815" width="18" style="471" customWidth="1"/>
    <col min="13816" max="13816" width="28" style="471" customWidth="1"/>
    <col min="13817" max="13817" width="11.88671875" style="471" bestFit="1" customWidth="1"/>
    <col min="13818" max="13818" width="16" style="471" customWidth="1"/>
    <col min="13819" max="13819" width="13.44140625" style="471" customWidth="1"/>
    <col min="13820" max="13820" width="13" style="471" customWidth="1"/>
    <col min="13821" max="13821" width="13.109375" style="471" bestFit="1" customWidth="1"/>
    <col min="13822" max="13829" width="11.33203125" style="471" bestFit="1" customWidth="1"/>
    <col min="13830" max="13830" width="11.33203125" style="471" customWidth="1"/>
    <col min="13831" max="13831" width="13.109375" style="471" bestFit="1" customWidth="1"/>
    <col min="13832" max="13832" width="10" style="471" bestFit="1" customWidth="1"/>
    <col min="13833" max="13833" width="13.109375" style="471" bestFit="1" customWidth="1"/>
    <col min="13834" max="14067" width="8.88671875" style="471"/>
    <col min="14068" max="14068" width="7.88671875" style="471" customWidth="1"/>
    <col min="14069" max="14069" width="68.44140625" style="471" customWidth="1"/>
    <col min="14070" max="14070" width="14.6640625" style="471" customWidth="1"/>
    <col min="14071" max="14071" width="18" style="471" customWidth="1"/>
    <col min="14072" max="14072" width="28" style="471" customWidth="1"/>
    <col min="14073" max="14073" width="11.88671875" style="471" bestFit="1" customWidth="1"/>
    <col min="14074" max="14074" width="16" style="471" customWidth="1"/>
    <col min="14075" max="14075" width="13.44140625" style="471" customWidth="1"/>
    <col min="14076" max="14076" width="13" style="471" customWidth="1"/>
    <col min="14077" max="14077" width="13.109375" style="471" bestFit="1" customWidth="1"/>
    <col min="14078" max="14085" width="11.33203125" style="471" bestFit="1" customWidth="1"/>
    <col min="14086" max="14086" width="11.33203125" style="471" customWidth="1"/>
    <col min="14087" max="14087" width="13.109375" style="471" bestFit="1" customWidth="1"/>
    <col min="14088" max="14088" width="10" style="471" bestFit="1" customWidth="1"/>
    <col min="14089" max="14089" width="13.109375" style="471" bestFit="1" customWidth="1"/>
    <col min="14090" max="14323" width="8.88671875" style="471"/>
    <col min="14324" max="14324" width="7.88671875" style="471" customWidth="1"/>
    <col min="14325" max="14325" width="68.44140625" style="471" customWidth="1"/>
    <col min="14326" max="14326" width="14.6640625" style="471" customWidth="1"/>
    <col min="14327" max="14327" width="18" style="471" customWidth="1"/>
    <col min="14328" max="14328" width="28" style="471" customWidth="1"/>
    <col min="14329" max="14329" width="11.88671875" style="471" bestFit="1" customWidth="1"/>
    <col min="14330" max="14330" width="16" style="471" customWidth="1"/>
    <col min="14331" max="14331" width="13.44140625" style="471" customWidth="1"/>
    <col min="14332" max="14332" width="13" style="471" customWidth="1"/>
    <col min="14333" max="14333" width="13.109375" style="471" bestFit="1" customWidth="1"/>
    <col min="14334" max="14341" width="11.33203125" style="471" bestFit="1" customWidth="1"/>
    <col min="14342" max="14342" width="11.33203125" style="471" customWidth="1"/>
    <col min="14343" max="14343" width="13.109375" style="471" bestFit="1" customWidth="1"/>
    <col min="14344" max="14344" width="10" style="471" bestFit="1" customWidth="1"/>
    <col min="14345" max="14345" width="13.109375" style="471" bestFit="1" customWidth="1"/>
    <col min="14346" max="14579" width="8.88671875" style="471"/>
    <col min="14580" max="14580" width="7.88671875" style="471" customWidth="1"/>
    <col min="14581" max="14581" width="68.44140625" style="471" customWidth="1"/>
    <col min="14582" max="14582" width="14.6640625" style="471" customWidth="1"/>
    <col min="14583" max="14583" width="18" style="471" customWidth="1"/>
    <col min="14584" max="14584" width="28" style="471" customWidth="1"/>
    <col min="14585" max="14585" width="11.88671875" style="471" bestFit="1" customWidth="1"/>
    <col min="14586" max="14586" width="16" style="471" customWidth="1"/>
    <col min="14587" max="14587" width="13.44140625" style="471" customWidth="1"/>
    <col min="14588" max="14588" width="13" style="471" customWidth="1"/>
    <col min="14589" max="14589" width="13.109375" style="471" bestFit="1" customWidth="1"/>
    <col min="14590" max="14597" width="11.33203125" style="471" bestFit="1" customWidth="1"/>
    <col min="14598" max="14598" width="11.33203125" style="471" customWidth="1"/>
    <col min="14599" max="14599" width="13.109375" style="471" bestFit="1" customWidth="1"/>
    <col min="14600" max="14600" width="10" style="471" bestFit="1" customWidth="1"/>
    <col min="14601" max="14601" width="13.109375" style="471" bestFit="1" customWidth="1"/>
    <col min="14602" max="14835" width="8.88671875" style="471"/>
    <col min="14836" max="14836" width="7.88671875" style="471" customWidth="1"/>
    <col min="14837" max="14837" width="68.44140625" style="471" customWidth="1"/>
    <col min="14838" max="14838" width="14.6640625" style="471" customWidth="1"/>
    <col min="14839" max="14839" width="18" style="471" customWidth="1"/>
    <col min="14840" max="14840" width="28" style="471" customWidth="1"/>
    <col min="14841" max="14841" width="11.88671875" style="471" bestFit="1" customWidth="1"/>
    <col min="14842" max="14842" width="16" style="471" customWidth="1"/>
    <col min="14843" max="14843" width="13.44140625" style="471" customWidth="1"/>
    <col min="14844" max="14844" width="13" style="471" customWidth="1"/>
    <col min="14845" max="14845" width="13.109375" style="471" bestFit="1" customWidth="1"/>
    <col min="14846" max="14853" width="11.33203125" style="471" bestFit="1" customWidth="1"/>
    <col min="14854" max="14854" width="11.33203125" style="471" customWidth="1"/>
    <col min="14855" max="14855" width="13.109375" style="471" bestFit="1" customWidth="1"/>
    <col min="14856" max="14856" width="10" style="471" bestFit="1" customWidth="1"/>
    <col min="14857" max="14857" width="13.109375" style="471" bestFit="1" customWidth="1"/>
    <col min="14858" max="15091" width="8.88671875" style="471"/>
    <col min="15092" max="15092" width="7.88671875" style="471" customWidth="1"/>
    <col min="15093" max="15093" width="68.44140625" style="471" customWidth="1"/>
    <col min="15094" max="15094" width="14.6640625" style="471" customWidth="1"/>
    <col min="15095" max="15095" width="18" style="471" customWidth="1"/>
    <col min="15096" max="15096" width="28" style="471" customWidth="1"/>
    <col min="15097" max="15097" width="11.88671875" style="471" bestFit="1" customWidth="1"/>
    <col min="15098" max="15098" width="16" style="471" customWidth="1"/>
    <col min="15099" max="15099" width="13.44140625" style="471" customWidth="1"/>
    <col min="15100" max="15100" width="13" style="471" customWidth="1"/>
    <col min="15101" max="15101" width="13.109375" style="471" bestFit="1" customWidth="1"/>
    <col min="15102" max="15109" width="11.33203125" style="471" bestFit="1" customWidth="1"/>
    <col min="15110" max="15110" width="11.33203125" style="471" customWidth="1"/>
    <col min="15111" max="15111" width="13.109375" style="471" bestFit="1" customWidth="1"/>
    <col min="15112" max="15112" width="10" style="471" bestFit="1" customWidth="1"/>
    <col min="15113" max="15113" width="13.109375" style="471" bestFit="1" customWidth="1"/>
    <col min="15114" max="15347" width="8.88671875" style="471"/>
    <col min="15348" max="15348" width="7.88671875" style="471" customWidth="1"/>
    <col min="15349" max="15349" width="68.44140625" style="471" customWidth="1"/>
    <col min="15350" max="15350" width="14.6640625" style="471" customWidth="1"/>
    <col min="15351" max="15351" width="18" style="471" customWidth="1"/>
    <col min="15352" max="15352" width="28" style="471" customWidth="1"/>
    <col min="15353" max="15353" width="11.88671875" style="471" bestFit="1" customWidth="1"/>
    <col min="15354" max="15354" width="16" style="471" customWidth="1"/>
    <col min="15355" max="15355" width="13.44140625" style="471" customWidth="1"/>
    <col min="15356" max="15356" width="13" style="471" customWidth="1"/>
    <col min="15357" max="15357" width="13.109375" style="471" bestFit="1" customWidth="1"/>
    <col min="15358" max="15365" width="11.33203125" style="471" bestFit="1" customWidth="1"/>
    <col min="15366" max="15366" width="11.33203125" style="471" customWidth="1"/>
    <col min="15367" max="15367" width="13.109375" style="471" bestFit="1" customWidth="1"/>
    <col min="15368" max="15368" width="10" style="471" bestFit="1" customWidth="1"/>
    <col min="15369" max="15369" width="13.109375" style="471" bestFit="1" customWidth="1"/>
    <col min="15370" max="15603" width="8.88671875" style="471"/>
    <col min="15604" max="15604" width="7.88671875" style="471" customWidth="1"/>
    <col min="15605" max="15605" width="68.44140625" style="471" customWidth="1"/>
    <col min="15606" max="15606" width="14.6640625" style="471" customWidth="1"/>
    <col min="15607" max="15607" width="18" style="471" customWidth="1"/>
    <col min="15608" max="15608" width="28" style="471" customWidth="1"/>
    <col min="15609" max="15609" width="11.88671875" style="471" bestFit="1" customWidth="1"/>
    <col min="15610" max="15610" width="16" style="471" customWidth="1"/>
    <col min="15611" max="15611" width="13.44140625" style="471" customWidth="1"/>
    <col min="15612" max="15612" width="13" style="471" customWidth="1"/>
    <col min="15613" max="15613" width="13.109375" style="471" bestFit="1" customWidth="1"/>
    <col min="15614" max="15621" width="11.33203125" style="471" bestFit="1" customWidth="1"/>
    <col min="15622" max="15622" width="11.33203125" style="471" customWidth="1"/>
    <col min="15623" max="15623" width="13.109375" style="471" bestFit="1" customWidth="1"/>
    <col min="15624" max="15624" width="10" style="471" bestFit="1" customWidth="1"/>
    <col min="15625" max="15625" width="13.109375" style="471" bestFit="1" customWidth="1"/>
    <col min="15626" max="15859" width="8.88671875" style="471"/>
    <col min="15860" max="15860" width="7.88671875" style="471" customWidth="1"/>
    <col min="15861" max="15861" width="68.44140625" style="471" customWidth="1"/>
    <col min="15862" max="15862" width="14.6640625" style="471" customWidth="1"/>
    <col min="15863" max="15863" width="18" style="471" customWidth="1"/>
    <col min="15864" max="15864" width="28" style="471" customWidth="1"/>
    <col min="15865" max="15865" width="11.88671875" style="471" bestFit="1" customWidth="1"/>
    <col min="15866" max="15866" width="16" style="471" customWidth="1"/>
    <col min="15867" max="15867" width="13.44140625" style="471" customWidth="1"/>
    <col min="15868" max="15868" width="13" style="471" customWidth="1"/>
    <col min="15869" max="15869" width="13.109375" style="471" bestFit="1" customWidth="1"/>
    <col min="15870" max="15877" width="11.33203125" style="471" bestFit="1" customWidth="1"/>
    <col min="15878" max="15878" width="11.33203125" style="471" customWidth="1"/>
    <col min="15879" max="15879" width="13.109375" style="471" bestFit="1" customWidth="1"/>
    <col min="15880" max="15880" width="10" style="471" bestFit="1" customWidth="1"/>
    <col min="15881" max="15881" width="13.109375" style="471" bestFit="1" customWidth="1"/>
    <col min="15882" max="16115" width="8.88671875" style="471"/>
    <col min="16116" max="16116" width="7.88671875" style="471" customWidth="1"/>
    <col min="16117" max="16117" width="68.44140625" style="471" customWidth="1"/>
    <col min="16118" max="16118" width="14.6640625" style="471" customWidth="1"/>
    <col min="16119" max="16119" width="18" style="471" customWidth="1"/>
    <col min="16120" max="16120" width="28" style="471" customWidth="1"/>
    <col min="16121" max="16121" width="11.88671875" style="471" bestFit="1" customWidth="1"/>
    <col min="16122" max="16122" width="16" style="471" customWidth="1"/>
    <col min="16123" max="16123" width="13.44140625" style="471" customWidth="1"/>
    <col min="16124" max="16124" width="13" style="471" customWidth="1"/>
    <col min="16125" max="16125" width="13.109375" style="471" bestFit="1" customWidth="1"/>
    <col min="16126" max="16133" width="11.33203125" style="471" bestFit="1" customWidth="1"/>
    <col min="16134" max="16134" width="11.33203125" style="471" customWidth="1"/>
    <col min="16135" max="16135" width="13.109375" style="471" bestFit="1" customWidth="1"/>
    <col min="16136" max="16136" width="10" style="471" bestFit="1" customWidth="1"/>
    <col min="16137" max="16137" width="13.109375" style="471" bestFit="1" customWidth="1"/>
    <col min="16138" max="16384" width="8.88671875" style="471"/>
  </cols>
  <sheetData>
    <row r="1" spans="1:24" ht="39" customHeight="1">
      <c r="A1" s="526" t="s">
        <v>834</v>
      </c>
      <c r="B1" s="526"/>
      <c r="C1" s="526"/>
      <c r="D1" s="526"/>
      <c r="E1" s="526"/>
      <c r="I1" s="472"/>
    </row>
    <row r="2" spans="1:24" ht="33" customHeight="1">
      <c r="A2" s="527" t="s">
        <v>1011</v>
      </c>
      <c r="B2" s="527"/>
      <c r="C2" s="527"/>
      <c r="D2" s="527"/>
      <c r="E2" s="527"/>
      <c r="I2" s="473"/>
    </row>
    <row r="3" spans="1:24" ht="28.5" customHeight="1">
      <c r="D3" s="528" t="s">
        <v>824</v>
      </c>
      <c r="E3" s="528"/>
      <c r="I3" s="475"/>
    </row>
    <row r="4" spans="1:24" ht="31.5" customHeight="1">
      <c r="A4" s="529" t="s">
        <v>1</v>
      </c>
      <c r="B4" s="529" t="s">
        <v>305</v>
      </c>
      <c r="C4" s="531" t="s">
        <v>272</v>
      </c>
      <c r="D4" s="532" t="s">
        <v>678</v>
      </c>
      <c r="E4" s="533" t="s">
        <v>6</v>
      </c>
      <c r="I4" s="300"/>
      <c r="J4" s="300" t="s">
        <v>272</v>
      </c>
      <c r="K4" s="299" t="s">
        <v>273</v>
      </c>
      <c r="L4" s="299" t="s">
        <v>291</v>
      </c>
      <c r="M4" s="299" t="s">
        <v>378</v>
      </c>
      <c r="N4" s="299" t="s">
        <v>276</v>
      </c>
      <c r="O4" s="299" t="s">
        <v>277</v>
      </c>
      <c r="P4" s="299" t="s">
        <v>278</v>
      </c>
      <c r="Q4" s="299" t="s">
        <v>279</v>
      </c>
      <c r="R4" s="299" t="s">
        <v>280</v>
      </c>
      <c r="S4" s="299" t="s">
        <v>281</v>
      </c>
      <c r="T4" s="299" t="s">
        <v>282</v>
      </c>
      <c r="U4" s="299" t="s">
        <v>283</v>
      </c>
      <c r="V4" s="299" t="s">
        <v>284</v>
      </c>
      <c r="W4" s="299" t="s">
        <v>285</v>
      </c>
      <c r="X4" s="299" t="s">
        <v>286</v>
      </c>
    </row>
    <row r="5" spans="1:24" ht="31.5" customHeight="1">
      <c r="A5" s="530"/>
      <c r="B5" s="530"/>
      <c r="C5" s="531"/>
      <c r="D5" s="532"/>
      <c r="E5" s="534"/>
      <c r="I5" s="288" t="s">
        <v>287</v>
      </c>
      <c r="J5" s="58"/>
      <c r="K5" s="58"/>
      <c r="L5" s="58"/>
      <c r="M5" s="58"/>
      <c r="N5" s="58"/>
      <c r="O5" s="58"/>
      <c r="P5" s="58"/>
      <c r="Q5" s="58"/>
      <c r="R5" s="58"/>
      <c r="S5" s="58"/>
      <c r="T5" s="58"/>
      <c r="U5" s="58"/>
      <c r="V5" s="58"/>
      <c r="W5" s="58"/>
      <c r="X5" s="58"/>
    </row>
    <row r="6" spans="1:24" s="472" customFormat="1" ht="30.75" customHeight="1">
      <c r="A6" s="476"/>
      <c r="B6" s="477" t="s">
        <v>188</v>
      </c>
      <c r="C6" s="478" t="e">
        <f>SUM(C7,C15,C19,C37,#REF!,C40,#REF!,C55,C43,C45,C57,C50,C52,)</f>
        <v>#REF!</v>
      </c>
      <c r="D6" s="478">
        <f>SUM(D7,D15,D19,D37,D40,D43,D45,D50,D52,D55,D57,D59,D61,D63)</f>
        <v>4896718</v>
      </c>
      <c r="E6" s="479"/>
      <c r="F6" s="480"/>
      <c r="I6" s="300" t="s">
        <v>288</v>
      </c>
      <c r="J6" s="58"/>
      <c r="K6" s="58"/>
      <c r="L6" s="58"/>
      <c r="M6" s="58"/>
      <c r="N6" s="58"/>
      <c r="O6" s="58"/>
      <c r="P6" s="58"/>
      <c r="Q6" s="58"/>
      <c r="R6" s="58"/>
      <c r="S6" s="58"/>
      <c r="T6" s="58"/>
      <c r="U6" s="58"/>
      <c r="V6" s="58"/>
      <c r="W6" s="58"/>
      <c r="X6" s="58"/>
    </row>
    <row r="7" spans="1:24" s="473" customFormat="1" ht="35.1" customHeight="1">
      <c r="A7" s="476" t="s">
        <v>77</v>
      </c>
      <c r="B7" s="388" t="s">
        <v>306</v>
      </c>
      <c r="C7" s="481">
        <f>SUM(C8:C9)</f>
        <v>37</v>
      </c>
      <c r="D7" s="478">
        <f>'1. CĐNS'!Z9</f>
        <v>552610</v>
      </c>
      <c r="E7" s="479" t="s">
        <v>336</v>
      </c>
      <c r="F7" s="482"/>
      <c r="G7" s="482">
        <f>SUM(F8:G9)-D7</f>
        <v>-35473</v>
      </c>
      <c r="I7" s="315" t="s">
        <v>287</v>
      </c>
      <c r="J7" s="314">
        <f>SUM(L7:X7)</f>
        <v>0</v>
      </c>
      <c r="K7" s="314"/>
      <c r="L7" s="314"/>
      <c r="M7" s="314"/>
      <c r="N7" s="314"/>
      <c r="O7" s="314"/>
      <c r="P7" s="314"/>
      <c r="Q7" s="314"/>
      <c r="R7" s="314"/>
      <c r="S7" s="314"/>
      <c r="T7" s="314"/>
      <c r="U7" s="314"/>
      <c r="V7" s="314"/>
      <c r="W7" s="314"/>
      <c r="X7" s="314"/>
    </row>
    <row r="8" spans="1:24" s="489" customFormat="1" ht="39.75" customHeight="1">
      <c r="A8" s="483" t="s">
        <v>825</v>
      </c>
      <c r="B8" s="484" t="s">
        <v>307</v>
      </c>
      <c r="C8" s="485"/>
      <c r="D8" s="486">
        <f>'1. CĐNS'!Z10</f>
        <v>145200</v>
      </c>
      <c r="E8" s="487"/>
      <c r="F8" s="488"/>
      <c r="G8" s="488">
        <f>D8</f>
        <v>145200</v>
      </c>
      <c r="I8" s="319" t="s">
        <v>288</v>
      </c>
      <c r="J8" s="314">
        <f>SUM(L8:X8)</f>
        <v>0</v>
      </c>
      <c r="K8" s="314"/>
      <c r="L8" s="314"/>
      <c r="M8" s="314"/>
      <c r="N8" s="314"/>
      <c r="O8" s="314"/>
      <c r="P8" s="314"/>
      <c r="Q8" s="314"/>
      <c r="R8" s="314"/>
      <c r="S8" s="314"/>
      <c r="T8" s="314"/>
      <c r="U8" s="314"/>
      <c r="V8" s="314"/>
      <c r="W8" s="314"/>
      <c r="X8" s="314"/>
    </row>
    <row r="9" spans="1:24" s="489" customFormat="1" ht="39.75" customHeight="1">
      <c r="A9" s="483" t="s">
        <v>826</v>
      </c>
      <c r="B9" s="484" t="s">
        <v>308</v>
      </c>
      <c r="C9" s="485">
        <f>SUM(C10:C11)</f>
        <v>37</v>
      </c>
      <c r="D9" s="486">
        <f>'1. CĐNS'!Z19</f>
        <v>407410</v>
      </c>
      <c r="E9" s="487"/>
      <c r="F9" s="488"/>
      <c r="G9" s="488">
        <f>SUM(G10:G11)</f>
        <v>371937</v>
      </c>
      <c r="K9" s="488"/>
    </row>
    <row r="10" spans="1:24" s="473" customFormat="1" ht="39.75" customHeight="1">
      <c r="A10" s="490">
        <v>1</v>
      </c>
      <c r="B10" s="491" t="s">
        <v>827</v>
      </c>
      <c r="C10" s="481"/>
      <c r="D10" s="492">
        <f>'1. CĐNS'!Z20</f>
        <v>28694</v>
      </c>
      <c r="E10" s="479"/>
      <c r="F10" s="482"/>
      <c r="G10" s="482">
        <f>D10</f>
        <v>28694</v>
      </c>
      <c r="K10" s="482"/>
    </row>
    <row r="11" spans="1:24" s="473" customFormat="1" ht="39.75" customHeight="1">
      <c r="A11" s="490">
        <v>2</v>
      </c>
      <c r="B11" s="491" t="s">
        <v>309</v>
      </c>
      <c r="C11" s="493">
        <f>SUM(C12:C13)</f>
        <v>37</v>
      </c>
      <c r="D11" s="492">
        <f>'1. CĐNS'!Z21</f>
        <v>378716</v>
      </c>
      <c r="E11" s="479"/>
      <c r="F11" s="482"/>
      <c r="G11" s="482">
        <f>SUM(G12:G13)</f>
        <v>343243</v>
      </c>
      <c r="I11" s="300"/>
      <c r="J11" s="300"/>
      <c r="K11" s="299"/>
      <c r="L11" s="299"/>
      <c r="M11" s="299"/>
      <c r="N11" s="299"/>
      <c r="O11" s="299"/>
      <c r="P11" s="299"/>
      <c r="Q11" s="299"/>
      <c r="R11" s="299"/>
      <c r="S11" s="299"/>
      <c r="T11" s="299"/>
      <c r="U11" s="299"/>
      <c r="V11" s="299"/>
      <c r="W11" s="299"/>
      <c r="X11" s="299"/>
    </row>
    <row r="12" spans="1:24" s="500" customFormat="1" ht="35.1" customHeight="1">
      <c r="A12" s="494" t="s">
        <v>16</v>
      </c>
      <c r="B12" s="495" t="s">
        <v>62</v>
      </c>
      <c r="C12" s="496">
        <v>11</v>
      </c>
      <c r="D12" s="497">
        <f>'1. CĐNS'!Z22</f>
        <v>312843</v>
      </c>
      <c r="E12" s="498"/>
      <c r="F12" s="499"/>
      <c r="G12" s="499">
        <f>D12</f>
        <v>312843</v>
      </c>
      <c r="I12" s="288"/>
      <c r="J12" s="58"/>
      <c r="K12" s="58"/>
      <c r="L12" s="58"/>
      <c r="M12" s="58"/>
      <c r="N12" s="58"/>
      <c r="O12" s="58"/>
      <c r="P12" s="58"/>
      <c r="Q12" s="58"/>
      <c r="R12" s="58"/>
      <c r="S12" s="58"/>
      <c r="T12" s="58"/>
      <c r="U12" s="58"/>
      <c r="V12" s="58"/>
      <c r="W12" s="58"/>
      <c r="X12" s="58"/>
    </row>
    <row r="13" spans="1:24" s="500" customFormat="1" ht="35.1" customHeight="1">
      <c r="A13" s="494" t="s">
        <v>24</v>
      </c>
      <c r="B13" s="495" t="s">
        <v>66</v>
      </c>
      <c r="C13" s="496">
        <v>26</v>
      </c>
      <c r="D13" s="497">
        <f>'1. CĐNS'!Z47</f>
        <v>30400</v>
      </c>
      <c r="E13" s="498"/>
      <c r="F13" s="499"/>
      <c r="G13" s="499">
        <f t="shared" ref="G13" si="0">D13</f>
        <v>30400</v>
      </c>
      <c r="I13" s="300"/>
      <c r="J13" s="58"/>
      <c r="K13" s="58"/>
      <c r="L13" s="58"/>
      <c r="M13" s="58"/>
      <c r="N13" s="58"/>
      <c r="O13" s="58"/>
      <c r="P13" s="58"/>
      <c r="Q13" s="58"/>
      <c r="R13" s="58"/>
      <c r="S13" s="58"/>
      <c r="T13" s="58"/>
      <c r="U13" s="58"/>
      <c r="V13" s="58"/>
      <c r="W13" s="58"/>
      <c r="X13" s="58"/>
    </row>
    <row r="14" spans="1:24" s="512" customFormat="1" ht="46.5" customHeight="1">
      <c r="A14" s="494" t="s">
        <v>29</v>
      </c>
      <c r="B14" s="495" t="s">
        <v>817</v>
      </c>
      <c r="C14" s="496"/>
      <c r="D14" s="497">
        <f>'1. CĐNS'!Z57</f>
        <v>35473</v>
      </c>
      <c r="E14" s="510" t="s">
        <v>1007</v>
      </c>
      <c r="F14" s="511"/>
    </row>
    <row r="15" spans="1:24" s="502" customFormat="1" ht="35.1" customHeight="1">
      <c r="A15" s="483" t="s">
        <v>21</v>
      </c>
      <c r="B15" s="484" t="s">
        <v>310</v>
      </c>
      <c r="C15" s="485">
        <f>SUM(C16:C16)</f>
        <v>0</v>
      </c>
      <c r="D15" s="486">
        <f>'2. SDĐ'!P9</f>
        <v>469100</v>
      </c>
      <c r="E15" s="479" t="s">
        <v>337</v>
      </c>
      <c r="F15" s="501"/>
      <c r="G15" s="501">
        <f>SUM(G16:G16)-D15</f>
        <v>-98100</v>
      </c>
      <c r="I15" s="319"/>
      <c r="J15" s="314"/>
      <c r="K15" s="314"/>
      <c r="L15" s="314"/>
      <c r="M15" s="314"/>
      <c r="N15" s="314"/>
      <c r="O15" s="314"/>
      <c r="P15" s="314"/>
      <c r="Q15" s="314"/>
      <c r="R15" s="314"/>
      <c r="S15" s="314"/>
      <c r="T15" s="314"/>
      <c r="U15" s="314"/>
      <c r="V15" s="314"/>
      <c r="W15" s="314"/>
      <c r="X15" s="314"/>
    </row>
    <row r="16" spans="1:24" s="502" customFormat="1" ht="35.1" customHeight="1">
      <c r="A16" s="483" t="s">
        <v>14</v>
      </c>
      <c r="B16" s="484" t="s">
        <v>924</v>
      </c>
      <c r="C16" s="485"/>
      <c r="D16" s="486">
        <f>'2. SDĐ'!P10</f>
        <v>371000</v>
      </c>
      <c r="E16" s="487"/>
      <c r="F16" s="501"/>
      <c r="G16" s="501">
        <f>D16</f>
        <v>371000</v>
      </c>
      <c r="L16" s="501"/>
      <c r="M16" s="501"/>
      <c r="N16" s="501"/>
      <c r="O16" s="501"/>
      <c r="P16" s="501"/>
      <c r="Q16" s="501"/>
      <c r="R16" s="501"/>
      <c r="S16" s="501"/>
      <c r="T16" s="501"/>
      <c r="U16" s="501"/>
      <c r="V16" s="501"/>
      <c r="W16" s="501"/>
      <c r="X16" s="501"/>
    </row>
    <row r="17" spans="1:7" s="502" customFormat="1" ht="35.1" customHeight="1">
      <c r="A17" s="483" t="s">
        <v>34</v>
      </c>
      <c r="B17" s="484" t="s">
        <v>925</v>
      </c>
      <c r="C17" s="485">
        <f>SUM(C18)</f>
        <v>2</v>
      </c>
      <c r="D17" s="486">
        <f>'2. SDĐ'!P20</f>
        <v>98100</v>
      </c>
      <c r="E17" s="487"/>
      <c r="F17" s="501"/>
      <c r="G17" s="503">
        <f>SUM(G18)</f>
        <v>98100</v>
      </c>
    </row>
    <row r="18" spans="1:7" s="500" customFormat="1" ht="35.1" customHeight="1">
      <c r="A18" s="494" t="s">
        <v>16</v>
      </c>
      <c r="B18" s="495" t="s">
        <v>62</v>
      </c>
      <c r="C18" s="496">
        <v>2</v>
      </c>
      <c r="D18" s="497">
        <f>'2. SDĐ'!P22</f>
        <v>98100</v>
      </c>
      <c r="E18" s="498"/>
      <c r="F18" s="499"/>
      <c r="G18" s="499">
        <f>D18</f>
        <v>98100</v>
      </c>
    </row>
    <row r="19" spans="1:7" s="505" customFormat="1" ht="35.1" customHeight="1">
      <c r="A19" s="476" t="s">
        <v>19</v>
      </c>
      <c r="B19" s="388" t="s">
        <v>311</v>
      </c>
      <c r="C19" s="481" t="e">
        <f>SUM(C20:C21,#REF!)</f>
        <v>#REF!</v>
      </c>
      <c r="D19" s="478">
        <f>'3. XSKT'!Z9</f>
        <v>2013188</v>
      </c>
      <c r="E19" s="479" t="s">
        <v>338</v>
      </c>
      <c r="F19" s="504"/>
      <c r="G19" s="504"/>
    </row>
    <row r="20" spans="1:7" s="489" customFormat="1" ht="39.75" customHeight="1">
      <c r="A20" s="483" t="s">
        <v>331</v>
      </c>
      <c r="B20" s="484" t="s">
        <v>307</v>
      </c>
      <c r="C20" s="485"/>
      <c r="D20" s="486">
        <f>'3. XSKT'!Z10</f>
        <v>65000</v>
      </c>
      <c r="E20" s="487"/>
      <c r="F20" s="488"/>
    </row>
    <row r="21" spans="1:7" s="502" customFormat="1" ht="39.75" customHeight="1">
      <c r="A21" s="483" t="s">
        <v>332</v>
      </c>
      <c r="B21" s="484" t="s">
        <v>308</v>
      </c>
      <c r="C21" s="485" t="e">
        <f>SUM(C22:C24,C27,C28,C32,#REF!,C35,C33)</f>
        <v>#REF!</v>
      </c>
      <c r="D21" s="486">
        <f>'3. XSKT'!Z19</f>
        <v>1928488</v>
      </c>
      <c r="E21" s="487"/>
      <c r="F21" s="501" t="e">
        <f>SUM(D22,D23,D24,D27,D28,D32,#REF!,D35,D33,#REF!)-D21</f>
        <v>#REF!</v>
      </c>
    </row>
    <row r="22" spans="1:7" s="508" customFormat="1" ht="39.75" customHeight="1">
      <c r="A22" s="490">
        <v>1</v>
      </c>
      <c r="B22" s="491" t="s">
        <v>195</v>
      </c>
      <c r="C22" s="493"/>
      <c r="D22" s="492">
        <f>'3. XSKT'!Z20</f>
        <v>10000</v>
      </c>
      <c r="E22" s="506"/>
      <c r="F22" s="507"/>
    </row>
    <row r="23" spans="1:7" s="508" customFormat="1" ht="39.75" customHeight="1">
      <c r="A23" s="490">
        <v>2</v>
      </c>
      <c r="B23" s="491" t="s">
        <v>827</v>
      </c>
      <c r="C23" s="493"/>
      <c r="D23" s="492">
        <f>'3. XSKT'!Z21</f>
        <v>33500</v>
      </c>
      <c r="E23" s="506"/>
      <c r="F23" s="507"/>
    </row>
    <row r="24" spans="1:7" s="508" customFormat="1" ht="39.75" customHeight="1">
      <c r="A24" s="490">
        <v>3</v>
      </c>
      <c r="B24" s="509" t="s">
        <v>885</v>
      </c>
      <c r="C24" s="493">
        <f>SUM(C25:C26)</f>
        <v>48</v>
      </c>
      <c r="D24" s="492">
        <f>'3. XSKT'!Z22</f>
        <v>139805</v>
      </c>
      <c r="E24" s="479" t="s">
        <v>339</v>
      </c>
      <c r="F24" s="507"/>
      <c r="G24" s="507">
        <f>SUM(D25:D26)-D24</f>
        <v>0</v>
      </c>
    </row>
    <row r="25" spans="1:7" s="512" customFormat="1" ht="31.5" customHeight="1">
      <c r="A25" s="494" t="s">
        <v>16</v>
      </c>
      <c r="B25" s="495" t="s">
        <v>62</v>
      </c>
      <c r="C25" s="496">
        <v>14</v>
      </c>
      <c r="D25" s="497">
        <f>'4. ĐƯCTMTQG'!Z11</f>
        <v>57990</v>
      </c>
      <c r="E25" s="510"/>
      <c r="F25" s="511"/>
    </row>
    <row r="26" spans="1:7" s="512" customFormat="1" ht="31.5" customHeight="1">
      <c r="A26" s="494" t="s">
        <v>24</v>
      </c>
      <c r="B26" s="495" t="s">
        <v>66</v>
      </c>
      <c r="C26" s="496">
        <v>34</v>
      </c>
      <c r="D26" s="497">
        <f>'4. ĐƯCTMTQG'!Z48</f>
        <v>81815</v>
      </c>
      <c r="E26" s="510"/>
      <c r="F26" s="511"/>
    </row>
    <row r="27" spans="1:7" s="508" customFormat="1" ht="39.75" customHeight="1">
      <c r="A27" s="490">
        <v>4</v>
      </c>
      <c r="B27" s="491" t="s">
        <v>80</v>
      </c>
      <c r="C27" s="493">
        <v>1</v>
      </c>
      <c r="D27" s="492">
        <f>'3. XSKT'!Z23</f>
        <v>60000</v>
      </c>
      <c r="E27" s="506"/>
      <c r="F27" s="507"/>
    </row>
    <row r="28" spans="1:7" s="472" customFormat="1" ht="45.75" customHeight="1">
      <c r="A28" s="513">
        <v>5</v>
      </c>
      <c r="B28" s="509" t="s">
        <v>309</v>
      </c>
      <c r="C28" s="514">
        <f>SUM(C29:C30)</f>
        <v>64</v>
      </c>
      <c r="D28" s="515">
        <f>'3. XSKT'!Z25</f>
        <v>1653396</v>
      </c>
      <c r="E28" s="516"/>
      <c r="F28" s="480"/>
      <c r="G28" s="480"/>
    </row>
    <row r="29" spans="1:7" s="500" customFormat="1" ht="42" customHeight="1">
      <c r="A29" s="494" t="s">
        <v>16</v>
      </c>
      <c r="B29" s="495" t="s">
        <v>62</v>
      </c>
      <c r="C29" s="496">
        <v>39</v>
      </c>
      <c r="D29" s="497">
        <f>'3. XSKT'!Z26</f>
        <v>1488956</v>
      </c>
      <c r="E29" s="517"/>
      <c r="F29" s="499"/>
      <c r="G29" s="499"/>
    </row>
    <row r="30" spans="1:7" s="500" customFormat="1" ht="44.25" customHeight="1">
      <c r="A30" s="494" t="s">
        <v>24</v>
      </c>
      <c r="B30" s="495" t="s">
        <v>66</v>
      </c>
      <c r="C30" s="496">
        <v>25</v>
      </c>
      <c r="D30" s="497">
        <f>'3. XSKT'!Z68</f>
        <v>83913</v>
      </c>
      <c r="E30" s="518"/>
      <c r="F30" s="499"/>
      <c r="G30" s="499"/>
    </row>
    <row r="31" spans="1:7" s="512" customFormat="1" ht="46.5" customHeight="1">
      <c r="A31" s="494" t="s">
        <v>29</v>
      </c>
      <c r="B31" s="495" t="s">
        <v>817</v>
      </c>
      <c r="C31" s="496"/>
      <c r="D31" s="497">
        <f>'3. XSKT'!Z76</f>
        <v>80527</v>
      </c>
      <c r="E31" s="510" t="s">
        <v>1007</v>
      </c>
      <c r="F31" s="511"/>
    </row>
    <row r="32" spans="1:7" s="472" customFormat="1" ht="47.25" customHeight="1">
      <c r="A32" s="513">
        <v>6</v>
      </c>
      <c r="B32" s="509" t="s">
        <v>252</v>
      </c>
      <c r="C32" s="514"/>
      <c r="D32" s="515">
        <f>'3. XSKT'!Z82</f>
        <v>24500</v>
      </c>
      <c r="E32" s="516"/>
      <c r="F32" s="499"/>
      <c r="G32" s="480"/>
    </row>
    <row r="33" spans="1:7" s="472" customFormat="1" ht="49.5" customHeight="1">
      <c r="A33" s="513">
        <v>7</v>
      </c>
      <c r="B33" s="509" t="s">
        <v>831</v>
      </c>
      <c r="C33" s="514"/>
      <c r="D33" s="515">
        <f>'3. XSKT'!Z83</f>
        <v>7287</v>
      </c>
      <c r="E33" s="516"/>
      <c r="F33" s="499"/>
    </row>
    <row r="34" spans="1:7" s="502" customFormat="1" ht="57" customHeight="1">
      <c r="A34" s="483" t="s">
        <v>828</v>
      </c>
      <c r="B34" s="484" t="s">
        <v>829</v>
      </c>
      <c r="C34" s="485"/>
      <c r="D34" s="486">
        <f>'3. XSKT'!Z89</f>
        <v>10000</v>
      </c>
      <c r="E34" s="487"/>
      <c r="F34" s="501"/>
    </row>
    <row r="35" spans="1:7" s="502" customFormat="1" ht="39.75" customHeight="1">
      <c r="A35" s="483" t="s">
        <v>835</v>
      </c>
      <c r="B35" s="484" t="s">
        <v>830</v>
      </c>
      <c r="C35" s="485">
        <f>SUM(C36:C36)</f>
        <v>12</v>
      </c>
      <c r="D35" s="486">
        <f>'3. XSKT'!Z90</f>
        <v>9700</v>
      </c>
      <c r="E35" s="487"/>
      <c r="F35" s="501"/>
    </row>
    <row r="36" spans="1:7" s="521" customFormat="1" ht="44.25" customHeight="1">
      <c r="A36" s="513">
        <v>1</v>
      </c>
      <c r="B36" s="509" t="s">
        <v>66</v>
      </c>
      <c r="C36" s="514">
        <v>12</v>
      </c>
      <c r="D36" s="515">
        <f>'3. XSKT'!Z91</f>
        <v>9700</v>
      </c>
      <c r="E36" s="519"/>
      <c r="F36" s="520"/>
      <c r="G36" s="520"/>
    </row>
    <row r="37" spans="1:7" s="505" customFormat="1" ht="52.5" customHeight="1">
      <c r="A37" s="476" t="s">
        <v>312</v>
      </c>
      <c r="B37" s="388" t="s">
        <v>979</v>
      </c>
      <c r="C37" s="481">
        <f>SUM(C39:C39)</f>
        <v>11</v>
      </c>
      <c r="D37" s="478">
        <f>'5. ĐPTTH'!Z9</f>
        <v>132563</v>
      </c>
      <c r="E37" s="479" t="s">
        <v>340</v>
      </c>
      <c r="F37" s="504"/>
    </row>
    <row r="38" spans="1:7" s="521" customFormat="1" ht="35.1" customHeight="1">
      <c r="A38" s="513">
        <v>1</v>
      </c>
      <c r="B38" s="509" t="s">
        <v>951</v>
      </c>
      <c r="C38" s="514"/>
      <c r="D38" s="515">
        <f>'5. ĐPTTH'!Z10</f>
        <v>43719</v>
      </c>
      <c r="E38" s="479"/>
      <c r="F38" s="520"/>
    </row>
    <row r="39" spans="1:7" s="521" customFormat="1" ht="35.1" customHeight="1">
      <c r="A39" s="513">
        <v>2</v>
      </c>
      <c r="B39" s="509" t="s">
        <v>62</v>
      </c>
      <c r="C39" s="514">
        <v>11</v>
      </c>
      <c r="D39" s="515">
        <f>'5. ĐPTTH'!Z22</f>
        <v>88844</v>
      </c>
      <c r="E39" s="479"/>
      <c r="F39" s="520"/>
    </row>
    <row r="40" spans="1:7" s="505" customFormat="1" ht="37.5" customHeight="1">
      <c r="A40" s="476" t="s">
        <v>313</v>
      </c>
      <c r="B40" s="388" t="s">
        <v>316</v>
      </c>
      <c r="C40" s="481">
        <f>SUM(C41)</f>
        <v>23</v>
      </c>
      <c r="D40" s="478">
        <f>'6. XSKT CNT'!R9</f>
        <v>253500</v>
      </c>
      <c r="E40" s="479" t="s">
        <v>341</v>
      </c>
      <c r="F40" s="504"/>
    </row>
    <row r="41" spans="1:7" s="521" customFormat="1" ht="35.1" customHeight="1">
      <c r="A41" s="513">
        <v>1</v>
      </c>
      <c r="B41" s="509" t="s">
        <v>66</v>
      </c>
      <c r="C41" s="514">
        <v>23</v>
      </c>
      <c r="D41" s="515">
        <f>'6. XSKT CNT'!R10</f>
        <v>3500</v>
      </c>
      <c r="E41" s="479"/>
      <c r="F41" s="520"/>
    </row>
    <row r="42" spans="1:7" s="521" customFormat="1" ht="44.25" customHeight="1">
      <c r="A42" s="513">
        <v>2</v>
      </c>
      <c r="B42" s="509" t="s">
        <v>817</v>
      </c>
      <c r="C42" s="514"/>
      <c r="D42" s="515">
        <f>'6. XSKT CNT'!R13</f>
        <v>250000</v>
      </c>
      <c r="E42" s="516" t="s">
        <v>1007</v>
      </c>
      <c r="F42" s="520"/>
    </row>
    <row r="43" spans="1:7" s="505" customFormat="1" ht="38.25" customHeight="1">
      <c r="A43" s="476" t="s">
        <v>314</v>
      </c>
      <c r="B43" s="388" t="s">
        <v>836</v>
      </c>
      <c r="C43" s="481">
        <f>SUM(C44)</f>
        <v>1</v>
      </c>
      <c r="D43" s="478">
        <f>'7. Boi chi'!R9</f>
        <v>638300</v>
      </c>
      <c r="E43" s="479" t="s">
        <v>342</v>
      </c>
      <c r="F43" s="504"/>
    </row>
    <row r="44" spans="1:7" s="521" customFormat="1" ht="35.1" customHeight="1">
      <c r="A44" s="513">
        <v>1</v>
      </c>
      <c r="B44" s="509" t="s">
        <v>62</v>
      </c>
      <c r="C44" s="514">
        <v>1</v>
      </c>
      <c r="D44" s="515">
        <f>'7. Boi chi'!R10</f>
        <v>638300</v>
      </c>
      <c r="E44" s="479"/>
      <c r="F44" s="520"/>
    </row>
    <row r="45" spans="1:7" s="505" customFormat="1" ht="41.25" customHeight="1">
      <c r="A45" s="476" t="s">
        <v>315</v>
      </c>
      <c r="B45" s="388" t="s">
        <v>727</v>
      </c>
      <c r="C45" s="481">
        <f>SUM(C46)</f>
        <v>1</v>
      </c>
      <c r="D45" s="478">
        <f>'8.VTXSKT'!R9</f>
        <v>72554</v>
      </c>
      <c r="E45" s="479" t="s">
        <v>343</v>
      </c>
      <c r="F45" s="504"/>
    </row>
    <row r="46" spans="1:7" s="521" customFormat="1" ht="37.5" customHeight="1">
      <c r="A46" s="513">
        <v>1</v>
      </c>
      <c r="B46" s="509" t="s">
        <v>66</v>
      </c>
      <c r="C46" s="514">
        <v>1</v>
      </c>
      <c r="D46" s="515">
        <f>'8.VTXSKT'!R10</f>
        <v>26000</v>
      </c>
      <c r="E46" s="479"/>
      <c r="F46" s="520"/>
    </row>
    <row r="47" spans="1:7" s="521" customFormat="1" ht="37.5" customHeight="1">
      <c r="A47" s="513">
        <v>2</v>
      </c>
      <c r="B47" s="509" t="s">
        <v>422</v>
      </c>
      <c r="C47" s="514"/>
      <c r="D47" s="515">
        <f>'8.VTXSKT'!R13</f>
        <v>13000</v>
      </c>
      <c r="E47" s="479"/>
      <c r="F47" s="520"/>
    </row>
    <row r="48" spans="1:7" s="521" customFormat="1" ht="42.75" customHeight="1">
      <c r="A48" s="513">
        <v>3</v>
      </c>
      <c r="B48" s="509" t="s">
        <v>423</v>
      </c>
      <c r="C48" s="514"/>
      <c r="D48" s="515">
        <f>'8.VTXSKT'!R14</f>
        <v>28554</v>
      </c>
      <c r="E48" s="479"/>
      <c r="F48" s="520"/>
    </row>
    <row r="49" spans="1:6" s="521" customFormat="1" ht="37.5" customHeight="1">
      <c r="A49" s="513">
        <v>4</v>
      </c>
      <c r="B49" s="509" t="s">
        <v>885</v>
      </c>
      <c r="C49" s="514"/>
      <c r="D49" s="515">
        <f>'8.VTXSKT'!R15</f>
        <v>5000</v>
      </c>
      <c r="E49" s="479"/>
      <c r="F49" s="520"/>
    </row>
    <row r="50" spans="1:6" s="505" customFormat="1" ht="41.25" customHeight="1">
      <c r="A50" s="476" t="s">
        <v>317</v>
      </c>
      <c r="B50" s="388" t="s">
        <v>832</v>
      </c>
      <c r="C50" s="481" t="e">
        <f>SUM(#REF!,#REF!,C51,#REF!)</f>
        <v>#REF!</v>
      </c>
      <c r="D50" s="478">
        <f>'9. KDXSKT2022'!L9</f>
        <v>48</v>
      </c>
      <c r="E50" s="479" t="s">
        <v>344</v>
      </c>
      <c r="F50" s="504"/>
    </row>
    <row r="51" spans="1:6" s="472" customFormat="1" ht="74.25" customHeight="1">
      <c r="A51" s="513">
        <v>1</v>
      </c>
      <c r="B51" s="509" t="s">
        <v>729</v>
      </c>
      <c r="C51" s="514">
        <v>1</v>
      </c>
      <c r="D51" s="515">
        <f>'9. KDXSKT2022'!L10</f>
        <v>48</v>
      </c>
      <c r="E51" s="516"/>
      <c r="F51" s="480"/>
    </row>
    <row r="52" spans="1:6" s="505" customFormat="1" ht="41.25" customHeight="1">
      <c r="A52" s="476" t="s">
        <v>14</v>
      </c>
      <c r="B52" s="388" t="s">
        <v>732</v>
      </c>
      <c r="C52" s="481" t="e">
        <f>SUM(C53,#REF!)</f>
        <v>#REF!</v>
      </c>
      <c r="D52" s="478">
        <f>'10. VTXSKT2022'!P9</f>
        <v>75000</v>
      </c>
      <c r="E52" s="479" t="s">
        <v>345</v>
      </c>
      <c r="F52" s="504"/>
    </row>
    <row r="53" spans="1:6" s="472" customFormat="1" ht="41.25" customHeight="1">
      <c r="A53" s="513">
        <v>1</v>
      </c>
      <c r="B53" s="509" t="s">
        <v>62</v>
      </c>
      <c r="C53" s="514">
        <v>3</v>
      </c>
      <c r="D53" s="515">
        <f>'10. VTXSKT2022'!P11</f>
        <v>70000</v>
      </c>
      <c r="E53" s="516"/>
      <c r="F53" s="480"/>
    </row>
    <row r="54" spans="1:6" s="472" customFormat="1" ht="41.25" customHeight="1">
      <c r="A54" s="513">
        <v>2</v>
      </c>
      <c r="B54" s="509" t="s">
        <v>885</v>
      </c>
      <c r="C54" s="514"/>
      <c r="D54" s="515">
        <f>'10. VTXSKT2022'!P16</f>
        <v>5000</v>
      </c>
      <c r="E54" s="516"/>
      <c r="F54" s="480"/>
    </row>
    <row r="55" spans="1:6" s="521" customFormat="1" ht="48.75" customHeight="1">
      <c r="A55" s="476" t="s">
        <v>318</v>
      </c>
      <c r="B55" s="388" t="s">
        <v>734</v>
      </c>
      <c r="C55" s="481">
        <f>SUM(C56)</f>
        <v>1</v>
      </c>
      <c r="D55" s="478">
        <f>'11. Muon ĐPTTH'!L9</f>
        <v>640000</v>
      </c>
      <c r="E55" s="479" t="s">
        <v>346</v>
      </c>
      <c r="F55" s="520"/>
    </row>
    <row r="56" spans="1:6" s="521" customFormat="1" ht="37.5" customHeight="1">
      <c r="A56" s="513">
        <v>1</v>
      </c>
      <c r="B56" s="509" t="s">
        <v>62</v>
      </c>
      <c r="C56" s="514">
        <v>1</v>
      </c>
      <c r="D56" s="515">
        <f>'11. Muon ĐPTTH'!L10</f>
        <v>640000</v>
      </c>
      <c r="E56" s="479"/>
      <c r="F56" s="520"/>
    </row>
    <row r="57" spans="1:6" s="505" customFormat="1" ht="41.25" customHeight="1">
      <c r="A57" s="476" t="s">
        <v>319</v>
      </c>
      <c r="B57" s="388" t="s">
        <v>735</v>
      </c>
      <c r="C57" s="481">
        <f>SUM(C58)</f>
        <v>1</v>
      </c>
      <c r="D57" s="478">
        <f>'12. NHNN'!M9</f>
        <v>8900</v>
      </c>
      <c r="E57" s="479" t="s">
        <v>347</v>
      </c>
      <c r="F57" s="504"/>
    </row>
    <row r="58" spans="1:6" s="521" customFormat="1" ht="37.5" customHeight="1">
      <c r="A58" s="513">
        <v>1</v>
      </c>
      <c r="B58" s="509" t="s">
        <v>62</v>
      </c>
      <c r="C58" s="514">
        <v>1</v>
      </c>
      <c r="D58" s="515">
        <f>'12. NHNN'!M10</f>
        <v>8900</v>
      </c>
      <c r="E58" s="479"/>
      <c r="F58" s="520"/>
    </row>
    <row r="59" spans="1:6" s="505" customFormat="1" ht="41.25" customHeight="1">
      <c r="A59" s="476" t="s">
        <v>327</v>
      </c>
      <c r="B59" s="388" t="s">
        <v>737</v>
      </c>
      <c r="C59" s="481">
        <f>SUM(C60)</f>
        <v>1</v>
      </c>
      <c r="D59" s="478">
        <f>'13. VTPCP'!M9</f>
        <v>2002</v>
      </c>
      <c r="E59" s="479" t="s">
        <v>348</v>
      </c>
      <c r="F59" s="504"/>
    </row>
    <row r="60" spans="1:6" s="521" customFormat="1" ht="37.5" customHeight="1">
      <c r="A60" s="513">
        <v>1</v>
      </c>
      <c r="B60" s="509" t="s">
        <v>66</v>
      </c>
      <c r="C60" s="514">
        <v>1</v>
      </c>
      <c r="D60" s="515">
        <f>'13. VTPCP'!M11</f>
        <v>2002</v>
      </c>
      <c r="E60" s="479"/>
      <c r="F60" s="520"/>
    </row>
    <row r="61" spans="1:6" s="505" customFormat="1" ht="36.75" customHeight="1">
      <c r="A61" s="476" t="s">
        <v>833</v>
      </c>
      <c r="B61" s="388" t="s">
        <v>738</v>
      </c>
      <c r="C61" s="481"/>
      <c r="D61" s="478">
        <f>'14. KDSDĐ'!R9</f>
        <v>35553</v>
      </c>
      <c r="E61" s="479" t="s">
        <v>962</v>
      </c>
      <c r="F61" s="504"/>
    </row>
    <row r="62" spans="1:6" s="521" customFormat="1" ht="37.5" customHeight="1">
      <c r="A62" s="513">
        <v>1</v>
      </c>
      <c r="B62" s="509" t="s">
        <v>62</v>
      </c>
      <c r="C62" s="514">
        <v>1</v>
      </c>
      <c r="D62" s="515">
        <f>'14. KDSDĐ'!R10</f>
        <v>35553</v>
      </c>
      <c r="E62" s="479"/>
      <c r="F62" s="520"/>
    </row>
    <row r="63" spans="1:6" s="505" customFormat="1" ht="36.75" customHeight="1">
      <c r="A63" s="476" t="s">
        <v>837</v>
      </c>
      <c r="B63" s="388" t="s">
        <v>953</v>
      </c>
      <c r="C63" s="481"/>
      <c r="D63" s="478">
        <f>'15. DPNS 2024'!S9</f>
        <v>3400</v>
      </c>
      <c r="E63" s="479" t="s">
        <v>838</v>
      </c>
      <c r="F63" s="504"/>
    </row>
    <row r="64" spans="1:6" s="521" customFormat="1" ht="37.5" customHeight="1">
      <c r="A64" s="513">
        <v>1</v>
      </c>
      <c r="B64" s="509" t="s">
        <v>66</v>
      </c>
      <c r="C64" s="514">
        <v>1</v>
      </c>
      <c r="D64" s="515">
        <f>'15. DPNS 2024'!S10</f>
        <v>3400</v>
      </c>
      <c r="E64" s="522"/>
      <c r="F64" s="520"/>
    </row>
  </sheetData>
  <mergeCells count="8">
    <mergeCell ref="A1:E1"/>
    <mergeCell ref="A2:E2"/>
    <mergeCell ref="D3:E3"/>
    <mergeCell ref="A4:A5"/>
    <mergeCell ref="B4:B5"/>
    <mergeCell ref="C4:C5"/>
    <mergeCell ref="D4:D5"/>
    <mergeCell ref="E4:E5"/>
  </mergeCells>
  <printOptions horizontalCentered="1"/>
  <pageMargins left="0.39370078740157483" right="0.39370078740157483" top="0.39370078740157483" bottom="0.39370078740157483" header="0.24" footer="0.19685039370078741"/>
  <pageSetup paperSize="9" fitToHeight="0" orientation="landscape" r:id="rId1"/>
  <headerFooter>
    <oddFooter>&amp;C&amp;"Times New Roman,Regular"&amp;P/&amp;N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I15"/>
  <sheetViews>
    <sheetView view="pageBreakPreview" zoomScale="50" zoomScaleNormal="70" zoomScaleSheetLayoutView="50" workbookViewId="0">
      <selection activeCell="H9" sqref="H9"/>
    </sheetView>
  </sheetViews>
  <sheetFormatPr defaultColWidth="9.109375" defaultRowHeight="16.8"/>
  <cols>
    <col min="1" max="1" width="8.6640625" style="8" customWidth="1"/>
    <col min="2" max="2" width="50.6640625" style="8" customWidth="1"/>
    <col min="3" max="3" width="20.6640625" style="8" customWidth="1"/>
    <col min="4" max="4" width="20.6640625" style="17" customWidth="1"/>
    <col min="5" max="6" width="20.6640625" style="8" customWidth="1"/>
    <col min="7" max="7" width="22.6640625" style="8" customWidth="1"/>
    <col min="8" max="9" width="15.6640625" style="8" customWidth="1"/>
    <col min="10" max="10" width="20.6640625" style="8" customWidth="1"/>
    <col min="11" max="12" width="15.6640625" style="8" customWidth="1"/>
    <col min="13" max="13" width="30.88671875" style="8" customWidth="1"/>
    <col min="14" max="14" width="19.109375" style="8" customWidth="1"/>
    <col min="15" max="15" width="14.88671875" style="17" customWidth="1"/>
    <col min="16" max="16" width="13.44140625" style="17" customWidth="1"/>
    <col min="17" max="17" width="17.88671875" style="8" customWidth="1"/>
    <col min="18" max="18" width="19.33203125" style="8" customWidth="1"/>
    <col min="19" max="19" width="17.33203125" style="8" customWidth="1"/>
    <col min="20" max="20" width="15.33203125" style="8" customWidth="1"/>
    <col min="21" max="22" width="12.6640625" style="8" bestFit="1" customWidth="1"/>
    <col min="23" max="24" width="9.109375" style="8"/>
    <col min="25" max="25" width="11.33203125" style="8" bestFit="1" customWidth="1"/>
    <col min="26" max="26" width="9.109375" style="8"/>
    <col min="27" max="27" width="12.6640625" style="8" bestFit="1" customWidth="1"/>
    <col min="28" max="28" width="9.109375" style="8"/>
    <col min="29" max="29" width="12.44140625" style="8" customWidth="1"/>
    <col min="30" max="30" width="15.33203125" style="8" customWidth="1"/>
    <col min="31" max="31" width="15" style="8" customWidth="1"/>
    <col min="32" max="32" width="9.109375" style="8"/>
    <col min="33" max="33" width="11.33203125" style="8" bestFit="1" customWidth="1"/>
    <col min="34" max="34" width="14.88671875" style="8" customWidth="1"/>
    <col min="35" max="16384" width="9.109375" style="8"/>
  </cols>
  <sheetData>
    <row r="1" spans="1:35" ht="39.9" customHeight="1">
      <c r="A1" s="567" t="s">
        <v>262</v>
      </c>
      <c r="B1" s="567"/>
      <c r="C1" s="567"/>
      <c r="D1" s="567"/>
      <c r="E1" s="567"/>
      <c r="F1" s="567"/>
      <c r="G1" s="567"/>
      <c r="H1" s="567"/>
      <c r="I1" s="567"/>
      <c r="J1" s="567"/>
      <c r="K1" s="567"/>
      <c r="L1" s="567"/>
      <c r="M1" s="567"/>
      <c r="N1" s="17"/>
      <c r="O1" s="8"/>
      <c r="P1" s="8"/>
    </row>
    <row r="2" spans="1:35" ht="35.1" customHeight="1">
      <c r="A2" s="568" t="s">
        <v>724</v>
      </c>
      <c r="B2" s="568"/>
      <c r="C2" s="568"/>
      <c r="D2" s="568"/>
      <c r="E2" s="568"/>
      <c r="F2" s="568"/>
      <c r="G2" s="568"/>
      <c r="H2" s="568"/>
      <c r="I2" s="568"/>
      <c r="J2" s="568"/>
      <c r="K2" s="568"/>
      <c r="L2" s="568"/>
      <c r="M2" s="568"/>
      <c r="N2" s="17"/>
      <c r="O2" s="8"/>
      <c r="P2" s="8"/>
    </row>
    <row r="3" spans="1:35" ht="35.1" customHeight="1">
      <c r="A3" s="568" t="s">
        <v>728</v>
      </c>
      <c r="B3" s="568"/>
      <c r="C3" s="568"/>
      <c r="D3" s="568"/>
      <c r="E3" s="568"/>
      <c r="F3" s="568"/>
      <c r="G3" s="568"/>
      <c r="H3" s="568"/>
      <c r="I3" s="568"/>
      <c r="J3" s="568"/>
      <c r="K3" s="568"/>
      <c r="L3" s="568"/>
      <c r="M3" s="568"/>
      <c r="N3" s="17"/>
      <c r="O3" s="8"/>
      <c r="P3" s="8"/>
    </row>
    <row r="4" spans="1:35" ht="39.9" customHeight="1">
      <c r="A4" s="569" t="str">
        <f>'8.VTXSKT'!A4:S4</f>
        <v>(Ban hành kèm theo Quyết định số: 2631/QĐ-UBND ngày 19/12 /2024 của Ủy ban nhân dân tỉnh)</v>
      </c>
      <c r="B4" s="569"/>
      <c r="C4" s="569"/>
      <c r="D4" s="569"/>
      <c r="E4" s="569"/>
      <c r="F4" s="569"/>
      <c r="G4" s="569"/>
      <c r="H4" s="569"/>
      <c r="I4" s="569"/>
      <c r="J4" s="569"/>
      <c r="K4" s="569"/>
      <c r="L4" s="569"/>
      <c r="M4" s="569"/>
      <c r="N4" s="17"/>
      <c r="O4" s="8"/>
      <c r="P4" s="8"/>
    </row>
    <row r="5" spans="1:35" ht="33.75" customHeight="1">
      <c r="K5" s="9"/>
      <c r="L5" s="9"/>
      <c r="M5" s="9" t="s">
        <v>0</v>
      </c>
    </row>
    <row r="6" spans="1:35" ht="61.5" customHeight="1">
      <c r="A6" s="570" t="s">
        <v>1</v>
      </c>
      <c r="B6" s="570" t="s">
        <v>2</v>
      </c>
      <c r="C6" s="570" t="s">
        <v>3</v>
      </c>
      <c r="D6" s="570" t="s">
        <v>321</v>
      </c>
      <c r="E6" s="563" t="s">
        <v>4</v>
      </c>
      <c r="F6" s="563" t="s">
        <v>5</v>
      </c>
      <c r="G6" s="563" t="s">
        <v>118</v>
      </c>
      <c r="H6" s="563"/>
      <c r="I6" s="563"/>
      <c r="J6" s="547" t="s">
        <v>850</v>
      </c>
      <c r="K6" s="547" t="s">
        <v>849</v>
      </c>
      <c r="L6" s="547" t="s">
        <v>678</v>
      </c>
      <c r="M6" s="570" t="s">
        <v>6</v>
      </c>
      <c r="N6" s="10"/>
      <c r="O6" s="31" t="s">
        <v>269</v>
      </c>
      <c r="P6" s="31" t="s">
        <v>270</v>
      </c>
      <c r="Q6" s="32" t="s">
        <v>271</v>
      </c>
      <c r="R6" s="32"/>
      <c r="S6" s="32" t="s">
        <v>272</v>
      </c>
      <c r="T6" s="31" t="s">
        <v>273</v>
      </c>
      <c r="U6" s="31" t="s">
        <v>274</v>
      </c>
      <c r="V6" s="31" t="s">
        <v>275</v>
      </c>
      <c r="W6" s="31" t="s">
        <v>276</v>
      </c>
      <c r="X6" s="31" t="s">
        <v>277</v>
      </c>
      <c r="Y6" s="31" t="s">
        <v>278</v>
      </c>
      <c r="Z6" s="31" t="s">
        <v>279</v>
      </c>
      <c r="AA6" s="31" t="s">
        <v>280</v>
      </c>
      <c r="AB6" s="31" t="s">
        <v>281</v>
      </c>
      <c r="AC6" s="31" t="s">
        <v>282</v>
      </c>
      <c r="AD6" s="31" t="s">
        <v>283</v>
      </c>
      <c r="AE6" s="31" t="s">
        <v>284</v>
      </c>
      <c r="AF6" s="31" t="s">
        <v>285</v>
      </c>
      <c r="AG6" s="31" t="s">
        <v>286</v>
      </c>
      <c r="AH6" s="32"/>
      <c r="AI6" s="32"/>
    </row>
    <row r="7" spans="1:35" ht="30" customHeight="1">
      <c r="A7" s="571"/>
      <c r="B7" s="571"/>
      <c r="C7" s="571"/>
      <c r="D7" s="571"/>
      <c r="E7" s="563"/>
      <c r="F7" s="563"/>
      <c r="G7" s="563" t="s">
        <v>7</v>
      </c>
      <c r="H7" s="563" t="s">
        <v>8</v>
      </c>
      <c r="I7" s="563"/>
      <c r="J7" s="551"/>
      <c r="K7" s="551"/>
      <c r="L7" s="551"/>
      <c r="M7" s="571"/>
      <c r="N7" s="10"/>
      <c r="O7" s="31"/>
      <c r="P7" s="31"/>
      <c r="Q7" s="32"/>
      <c r="R7" s="33" t="s">
        <v>287</v>
      </c>
      <c r="S7" s="32">
        <f>COUNTIF(O9:O859,"CT")</f>
        <v>0</v>
      </c>
      <c r="T7" s="58">
        <f>SUMIF(O9:O859,"CT",Q9:Q859)</f>
        <v>0</v>
      </c>
      <c r="U7" s="58">
        <f>SUMIFS($Q$9:$Q$961,$O$9:$O$961,"CT",$P$9:$P$961,"GT")</f>
        <v>0</v>
      </c>
      <c r="V7" s="58">
        <f>SUMIFS($Q$9:$Q$961,$O$9:$O$961,"CT",$P$9:$P$961,"NN-TL")</f>
        <v>0</v>
      </c>
      <c r="W7" s="58">
        <f>SUMIFS($Q$9:$Q$961,$O$9:$O$961,"CT",$P$9:$P$961,"GDĐT")</f>
        <v>0</v>
      </c>
      <c r="X7" s="58">
        <f>SUMIFS($Q$9:$Q$961,$O$9:$O$961,"CT",$P$9:$P$961,"YT")</f>
        <v>0</v>
      </c>
      <c r="Y7" s="58">
        <f>SUMIFS($Q$9:$Q$961,$O$9:$O$961,"CT",$P$9:$P$961,"VH")</f>
        <v>0</v>
      </c>
      <c r="Z7" s="58">
        <f>SUMIFS($Q$9:$Q$961,$O$9:$O$961,"CT",$P$9:$P$961,"TTTT")</f>
        <v>0</v>
      </c>
      <c r="AA7" s="58">
        <f>SUMIFS($Q$9:$Q$961,$O$9:$O$961,"CT",$P$9:$P$961,"XH-CC")</f>
        <v>0</v>
      </c>
      <c r="AB7" s="58">
        <f>SUMIFS($Q$9:$Q$961,$O$9:$O$961,"CT",$P$9:$P$961,"NS")</f>
        <v>0</v>
      </c>
      <c r="AC7" s="58">
        <f>SUMIFS($Q$9:$Q$961,$O$9:$O$961,"CT",$P$9:$P$961,"TNMT")</f>
        <v>0</v>
      </c>
      <c r="AD7" s="58">
        <f>SUMIFS($Q$9:$Q$961,$O$9:$O$961,"CT",$P$9:$P$961,"QLNN")</f>
        <v>0</v>
      </c>
      <c r="AE7" s="58">
        <f>SUMIFS($Q$9:$Q$961,$O$9:$O$961,"CT",$P$9:$P$961,"QPAN")</f>
        <v>0</v>
      </c>
      <c r="AF7" s="58">
        <f>SUMIFS($Q$9:$Q$961,$O$9:$O$961,"CT",$P$9:$P$961,"PTĐT")</f>
        <v>0</v>
      </c>
      <c r="AG7" s="58">
        <f>SUMIFS($Q$9:$Q$961,$O$9:$O$961,"CT",$P$9:$P$961,"TMDV")</f>
        <v>0</v>
      </c>
      <c r="AH7" s="33">
        <f>SUM(U7:AG7)</f>
        <v>0</v>
      </c>
      <c r="AI7" s="32"/>
    </row>
    <row r="8" spans="1:35" ht="83.25" customHeight="1">
      <c r="A8" s="571"/>
      <c r="B8" s="571"/>
      <c r="C8" s="571"/>
      <c r="D8" s="572"/>
      <c r="E8" s="563"/>
      <c r="F8" s="563"/>
      <c r="G8" s="563"/>
      <c r="H8" s="75" t="s">
        <v>58</v>
      </c>
      <c r="I8" s="75" t="s">
        <v>59</v>
      </c>
      <c r="J8" s="548"/>
      <c r="K8" s="548"/>
      <c r="L8" s="548"/>
      <c r="M8" s="571"/>
      <c r="N8" s="4"/>
      <c r="O8" s="31"/>
      <c r="P8" s="31"/>
      <c r="Q8" s="32"/>
      <c r="R8" s="32" t="s">
        <v>288</v>
      </c>
      <c r="S8" s="32">
        <f>COUNTIF(O9:O858,"KCM")</f>
        <v>1</v>
      </c>
      <c r="T8" s="58">
        <f>SUMIF(O13:O859,"KCM",Q13:Q859)</f>
        <v>0</v>
      </c>
      <c r="U8" s="58" t="e">
        <f>SUMIFS($Q$9:$Q$961,$O$9:$O$961,"KCM",$P$9:$P$961,"GT")</f>
        <v>#REF!</v>
      </c>
      <c r="V8" s="58">
        <f>SUMIFS($Q$9:$Q$961,$O$9:$O$961,"KCM",$P$9:$P$961,"NN-TL")</f>
        <v>0</v>
      </c>
      <c r="W8" s="58">
        <f>SUMIFS($Q$9:$Q$961,$O$9:$O$961,"KCM",$P$9:$P$961,"GDĐT")</f>
        <v>0</v>
      </c>
      <c r="X8" s="58">
        <f>SUMIFS($Q$9:$Q$961,$O$9:$O$961,"KCM",$P$9:$P$961,"YT")</f>
        <v>0</v>
      </c>
      <c r="Y8" s="58">
        <f>SUMIFS($Q$9:$Q$961,$O$9:$O$961,"KCM",$P$9:$P$961,"VH")</f>
        <v>0</v>
      </c>
      <c r="Z8" s="58">
        <f>SUMIFS($Q$9:$Q$961,$O$9:$O$961,"KCM",$P$9:$P$961,"TTTT")</f>
        <v>0</v>
      </c>
      <c r="AA8" s="58">
        <f>SUMIFS($Q$9:$Q$961,$O$9:$O$961,"KCM",$P$9:$P$961,"XH-CC")</f>
        <v>0</v>
      </c>
      <c r="AB8" s="58">
        <f>SUMIFS($Q$9:$Q$961,$O$9:$O$961,"KCM",$P$9:$P$961,"NS")</f>
        <v>0</v>
      </c>
      <c r="AC8" s="58">
        <f>SUMIFS($Q$9:$Q$961,$O$9:$O$961,"KCM",$P$9:$P$961,"TNMT")</f>
        <v>0</v>
      </c>
      <c r="AD8" s="58">
        <f>SUMIFS($Q$9:$Q$961,$O$9:$O$961,"KCM",$P$9:$P$961,"QLNN")</f>
        <v>0</v>
      </c>
      <c r="AE8" s="58">
        <f>SUMIFS($Q$9:$Q$961,$O$9:$O$961,"KCM",$P$9:$P$961,"QPAN")</f>
        <v>0</v>
      </c>
      <c r="AF8" s="58">
        <f>SUMIFS($Q$9:$Q$961,$O$9:$O$961,"KCM",$P$9:$P$961,"PTĐT")</f>
        <v>0</v>
      </c>
      <c r="AG8" s="58">
        <f>SUMIFS($Q$9:$Q$961,$O$9:$O$961,"KCM",$P$9:$P$961,"TMDV")</f>
        <v>0</v>
      </c>
      <c r="AH8" s="33" t="e">
        <f>SUM(U8:AG8)</f>
        <v>#REF!</v>
      </c>
      <c r="AI8" s="32"/>
    </row>
    <row r="9" spans="1:35" s="45" customFormat="1" ht="69.900000000000006" customHeight="1">
      <c r="A9" s="40"/>
      <c r="B9" s="159" t="s">
        <v>188</v>
      </c>
      <c r="C9" s="40"/>
      <c r="D9" s="40"/>
      <c r="E9" s="40"/>
      <c r="F9" s="40"/>
      <c r="G9" s="40"/>
      <c r="H9" s="42">
        <f t="shared" ref="H9:L11" si="0">SUM(H10)</f>
        <v>362</v>
      </c>
      <c r="I9" s="42">
        <f t="shared" si="0"/>
        <v>48</v>
      </c>
      <c r="J9" s="42">
        <f t="shared" si="0"/>
        <v>48</v>
      </c>
      <c r="K9" s="42">
        <f t="shared" si="0"/>
        <v>0</v>
      </c>
      <c r="L9" s="42">
        <f t="shared" si="0"/>
        <v>48</v>
      </c>
      <c r="M9" s="160"/>
      <c r="N9" s="44" t="e">
        <f>256158-#REF!</f>
        <v>#REF!</v>
      </c>
      <c r="O9" s="157"/>
      <c r="P9" s="157"/>
      <c r="Q9" s="161"/>
      <c r="R9" s="161"/>
      <c r="S9" s="161"/>
      <c r="T9" s="161"/>
      <c r="U9" s="161"/>
      <c r="V9" s="161"/>
      <c r="W9" s="161"/>
      <c r="X9" s="161"/>
      <c r="Y9" s="161"/>
      <c r="Z9" s="161"/>
      <c r="AA9" s="161"/>
      <c r="AB9" s="161"/>
      <c r="AC9" s="161"/>
      <c r="AD9" s="161"/>
      <c r="AE9" s="161"/>
      <c r="AF9" s="161"/>
      <c r="AG9" s="161"/>
      <c r="AH9" s="161"/>
      <c r="AI9" s="161"/>
    </row>
    <row r="10" spans="1:35" s="13" customFormat="1" ht="108" customHeight="1">
      <c r="A10" s="75"/>
      <c r="B10" s="19" t="s">
        <v>884</v>
      </c>
      <c r="C10" s="75"/>
      <c r="D10" s="75"/>
      <c r="E10" s="75"/>
      <c r="F10" s="75"/>
      <c r="G10" s="75"/>
      <c r="H10" s="5">
        <f>SUM(H11)</f>
        <v>362</v>
      </c>
      <c r="I10" s="5">
        <f t="shared" si="0"/>
        <v>48</v>
      </c>
      <c r="J10" s="5">
        <f t="shared" si="0"/>
        <v>48</v>
      </c>
      <c r="K10" s="5">
        <f t="shared" si="0"/>
        <v>0</v>
      </c>
      <c r="L10" s="5">
        <f t="shared" si="0"/>
        <v>48</v>
      </c>
      <c r="M10" s="20"/>
      <c r="O10" s="65"/>
      <c r="P10" s="65"/>
    </row>
    <row r="11" spans="1:35" s="13" customFormat="1" ht="98.1" customHeight="1">
      <c r="A11" s="75"/>
      <c r="B11" s="19" t="s">
        <v>730</v>
      </c>
      <c r="C11" s="75"/>
      <c r="D11" s="75"/>
      <c r="E11" s="75"/>
      <c r="F11" s="75"/>
      <c r="G11" s="75"/>
      <c r="H11" s="5">
        <f>SUM(H12)</f>
        <v>362</v>
      </c>
      <c r="I11" s="5">
        <f t="shared" si="0"/>
        <v>48</v>
      </c>
      <c r="J11" s="5">
        <f t="shared" si="0"/>
        <v>48</v>
      </c>
      <c r="K11" s="5">
        <f t="shared" si="0"/>
        <v>0</v>
      </c>
      <c r="L11" s="5">
        <f t="shared" si="0"/>
        <v>48</v>
      </c>
      <c r="M11" s="20"/>
      <c r="O11" s="65"/>
      <c r="P11" s="65"/>
    </row>
    <row r="12" spans="1:35" ht="174" customHeight="1">
      <c r="A12" s="7">
        <v>1</v>
      </c>
      <c r="B12" s="69" t="s">
        <v>731</v>
      </c>
      <c r="C12" s="67" t="s">
        <v>752</v>
      </c>
      <c r="D12" s="59" t="s">
        <v>19</v>
      </c>
      <c r="E12" s="67" t="s">
        <v>753</v>
      </c>
      <c r="F12" s="67" t="s">
        <v>563</v>
      </c>
      <c r="G12" s="162" t="s">
        <v>751</v>
      </c>
      <c r="H12" s="26">
        <v>362</v>
      </c>
      <c r="I12" s="26">
        <v>48</v>
      </c>
      <c r="J12" s="26">
        <v>48</v>
      </c>
      <c r="K12" s="26"/>
      <c r="L12" s="26">
        <v>48</v>
      </c>
      <c r="M12" s="68"/>
      <c r="O12" s="17" t="s">
        <v>290</v>
      </c>
      <c r="P12" s="17" t="s">
        <v>291</v>
      </c>
      <c r="Q12" s="4" t="e">
        <f>#REF!</f>
        <v>#REF!</v>
      </c>
    </row>
    <row r="13" spans="1:35" ht="12.75" customHeight="1"/>
    <row r="15" spans="1:35">
      <c r="K15" s="4"/>
      <c r="L15" s="4"/>
    </row>
  </sheetData>
  <mergeCells count="17">
    <mergeCell ref="H7:I7"/>
    <mergeCell ref="A1:M1"/>
    <mergeCell ref="A2:M2"/>
    <mergeCell ref="A4:M4"/>
    <mergeCell ref="A6:A8"/>
    <mergeCell ref="B6:B8"/>
    <mergeCell ref="C6:C8"/>
    <mergeCell ref="D6:D8"/>
    <mergeCell ref="E6:E8"/>
    <mergeCell ref="F6:F8"/>
    <mergeCell ref="G6:I6"/>
    <mergeCell ref="A3:M3"/>
    <mergeCell ref="J6:J8"/>
    <mergeCell ref="K6:K8"/>
    <mergeCell ref="L6:L8"/>
    <mergeCell ref="M6:M8"/>
    <mergeCell ref="G7:G8"/>
  </mergeCells>
  <printOptions horizontalCentered="1"/>
  <pageMargins left="0.39370078740157499" right="0.39370078740157499" top="0.39370078740157499" bottom="0.39370078740157499" header="0.196850393700787" footer="0.196850393700787"/>
  <pageSetup paperSize="9" scale="50" fitToHeight="0" orientation="landscape" r:id="rId1"/>
  <headerFooter alignWithMargins="0">
    <oddFooter>&amp;C&amp;"Times New Roman,thường"&amp;11&amp;P/&amp;N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M22"/>
  <sheetViews>
    <sheetView view="pageBreakPreview" topLeftCell="A7" zoomScale="60" zoomScaleNormal="70" workbookViewId="0">
      <selection activeCell="B30" sqref="B30"/>
    </sheetView>
  </sheetViews>
  <sheetFormatPr defaultColWidth="9.109375" defaultRowHeight="16.8"/>
  <cols>
    <col min="1" max="1" width="8.6640625" style="8" customWidth="1"/>
    <col min="2" max="2" width="50.6640625" style="8" customWidth="1"/>
    <col min="3" max="3" width="20.6640625" style="8" customWidth="1"/>
    <col min="4" max="4" width="20.6640625" style="17" customWidth="1"/>
    <col min="5" max="6" width="20.6640625" style="8" customWidth="1"/>
    <col min="7" max="7" width="22.6640625" style="8" customWidth="1"/>
    <col min="8" max="9" width="15.6640625" style="8" customWidth="1"/>
    <col min="10" max="10" width="20.6640625" style="8" customWidth="1"/>
    <col min="11" max="12" width="15.6640625" style="8" hidden="1" customWidth="1"/>
    <col min="13" max="13" width="15.6640625" style="8" customWidth="1"/>
    <col min="14" max="14" width="15.6640625" style="8" hidden="1" customWidth="1"/>
    <col min="15" max="16" width="15.6640625" style="8" customWidth="1"/>
    <col min="17" max="17" width="51.6640625" style="8" customWidth="1"/>
    <col min="18" max="18" width="19.109375" style="8" customWidth="1"/>
    <col min="19" max="19" width="14.88671875" style="17" customWidth="1"/>
    <col min="20" max="20" width="13.44140625" style="17" customWidth="1"/>
    <col min="21" max="21" width="17.88671875" style="8" customWidth="1"/>
    <col min="22" max="22" width="19.33203125" style="8" customWidth="1"/>
    <col min="23" max="23" width="17.33203125" style="8" customWidth="1"/>
    <col min="24" max="24" width="15.33203125" style="8" customWidth="1"/>
    <col min="25" max="26" width="12.6640625" style="8" bestFit="1" customWidth="1"/>
    <col min="27" max="28" width="9.109375" style="8"/>
    <col min="29" max="29" width="11.33203125" style="8" bestFit="1" customWidth="1"/>
    <col min="30" max="30" width="9.109375" style="8"/>
    <col min="31" max="31" width="12.6640625" style="8" bestFit="1" customWidth="1"/>
    <col min="32" max="32" width="9.109375" style="8"/>
    <col min="33" max="33" width="12.44140625" style="8" customWidth="1"/>
    <col min="34" max="34" width="15.33203125" style="8" customWidth="1"/>
    <col min="35" max="35" width="15" style="8" customWidth="1"/>
    <col min="36" max="36" width="9.109375" style="8"/>
    <col min="37" max="37" width="11.33203125" style="8" bestFit="1" customWidth="1"/>
    <col min="38" max="38" width="14.88671875" style="8" customWidth="1"/>
    <col min="39" max="16384" width="9.109375" style="8"/>
  </cols>
  <sheetData>
    <row r="1" spans="1:39" ht="39.9" customHeight="1">
      <c r="A1" s="567" t="s">
        <v>263</v>
      </c>
      <c r="B1" s="567"/>
      <c r="C1" s="567"/>
      <c r="D1" s="567"/>
      <c r="E1" s="567"/>
      <c r="F1" s="567"/>
      <c r="G1" s="567"/>
      <c r="H1" s="567"/>
      <c r="I1" s="567"/>
      <c r="J1" s="567"/>
      <c r="K1" s="567"/>
      <c r="L1" s="567"/>
      <c r="M1" s="567"/>
      <c r="N1" s="567"/>
      <c r="O1" s="567"/>
      <c r="P1" s="567"/>
      <c r="Q1" s="567"/>
      <c r="R1" s="17"/>
      <c r="S1" s="8"/>
      <c r="T1" s="8"/>
    </row>
    <row r="2" spans="1:39" ht="35.1" customHeight="1">
      <c r="A2" s="568" t="s">
        <v>733</v>
      </c>
      <c r="B2" s="568"/>
      <c r="C2" s="568"/>
      <c r="D2" s="568"/>
      <c r="E2" s="568"/>
      <c r="F2" s="568"/>
      <c r="G2" s="568"/>
      <c r="H2" s="568"/>
      <c r="I2" s="568"/>
      <c r="J2" s="568"/>
      <c r="K2" s="568"/>
      <c r="L2" s="568"/>
      <c r="M2" s="568"/>
      <c r="N2" s="568"/>
      <c r="O2" s="568"/>
      <c r="P2" s="568"/>
      <c r="Q2" s="568"/>
      <c r="R2" s="17"/>
      <c r="S2" s="8"/>
      <c r="T2" s="8"/>
    </row>
    <row r="3" spans="1:39" ht="35.1" customHeight="1">
      <c r="A3" s="568" t="s">
        <v>732</v>
      </c>
      <c r="B3" s="568"/>
      <c r="C3" s="568"/>
      <c r="D3" s="568"/>
      <c r="E3" s="568"/>
      <c r="F3" s="568"/>
      <c r="G3" s="568"/>
      <c r="H3" s="568"/>
      <c r="I3" s="568"/>
      <c r="J3" s="568"/>
      <c r="K3" s="568"/>
      <c r="L3" s="568"/>
      <c r="M3" s="568"/>
      <c r="N3" s="568"/>
      <c r="O3" s="568"/>
      <c r="P3" s="568"/>
      <c r="Q3" s="568"/>
      <c r="R3" s="17"/>
      <c r="S3" s="8"/>
      <c r="T3" s="8"/>
    </row>
    <row r="4" spans="1:39" ht="39.9" customHeight="1">
      <c r="A4" s="569" t="str">
        <f>'9. KDXSKT2022'!A4:M4</f>
        <v>(Ban hành kèm theo Quyết định số: 2631/QĐ-UBND ngày 19/12 /2024 của Ủy ban nhân dân tỉnh)</v>
      </c>
      <c r="B4" s="569"/>
      <c r="C4" s="569"/>
      <c r="D4" s="569"/>
      <c r="E4" s="569"/>
      <c r="F4" s="569"/>
      <c r="G4" s="569"/>
      <c r="H4" s="569"/>
      <c r="I4" s="569"/>
      <c r="J4" s="569"/>
      <c r="K4" s="569"/>
      <c r="L4" s="569"/>
      <c r="M4" s="569"/>
      <c r="N4" s="569"/>
      <c r="O4" s="569"/>
      <c r="P4" s="569"/>
      <c r="Q4" s="569"/>
      <c r="R4" s="17"/>
      <c r="S4" s="8"/>
      <c r="T4" s="8"/>
    </row>
    <row r="5" spans="1:39" ht="33.75" customHeight="1">
      <c r="K5" s="9"/>
      <c r="L5" s="9"/>
      <c r="M5" s="9"/>
      <c r="N5" s="9"/>
      <c r="O5" s="9"/>
      <c r="P5" s="9"/>
      <c r="Q5" s="9" t="s">
        <v>0</v>
      </c>
    </row>
    <row r="6" spans="1:39" ht="61.5" customHeight="1">
      <c r="A6" s="570" t="s">
        <v>1</v>
      </c>
      <c r="B6" s="570" t="s">
        <v>2</v>
      </c>
      <c r="C6" s="570" t="s">
        <v>3</v>
      </c>
      <c r="D6" s="570" t="s">
        <v>321</v>
      </c>
      <c r="E6" s="563" t="s">
        <v>4</v>
      </c>
      <c r="F6" s="563" t="s">
        <v>5</v>
      </c>
      <c r="G6" s="563" t="s">
        <v>600</v>
      </c>
      <c r="H6" s="563"/>
      <c r="I6" s="563"/>
      <c r="J6" s="552" t="s">
        <v>850</v>
      </c>
      <c r="K6" s="181"/>
      <c r="L6" s="182"/>
      <c r="M6" s="543" t="s">
        <v>849</v>
      </c>
      <c r="N6" s="543"/>
      <c r="O6" s="543"/>
      <c r="P6" s="547" t="s">
        <v>678</v>
      </c>
      <c r="Q6" s="570" t="s">
        <v>6</v>
      </c>
      <c r="R6" s="10"/>
      <c r="S6" s="31" t="s">
        <v>269</v>
      </c>
      <c r="T6" s="31" t="s">
        <v>270</v>
      </c>
      <c r="U6" s="32" t="s">
        <v>271</v>
      </c>
      <c r="V6" s="32"/>
      <c r="W6" s="32" t="s">
        <v>272</v>
      </c>
      <c r="X6" s="31" t="s">
        <v>273</v>
      </c>
      <c r="Y6" s="31" t="s">
        <v>274</v>
      </c>
      <c r="Z6" s="31" t="s">
        <v>275</v>
      </c>
      <c r="AA6" s="31" t="s">
        <v>276</v>
      </c>
      <c r="AB6" s="31" t="s">
        <v>277</v>
      </c>
      <c r="AC6" s="31" t="s">
        <v>278</v>
      </c>
      <c r="AD6" s="31" t="s">
        <v>279</v>
      </c>
      <c r="AE6" s="31" t="s">
        <v>280</v>
      </c>
      <c r="AF6" s="31" t="s">
        <v>281</v>
      </c>
      <c r="AG6" s="31" t="s">
        <v>282</v>
      </c>
      <c r="AH6" s="31" t="s">
        <v>283</v>
      </c>
      <c r="AI6" s="31" t="s">
        <v>284</v>
      </c>
      <c r="AJ6" s="31" t="s">
        <v>285</v>
      </c>
      <c r="AK6" s="31" t="s">
        <v>286</v>
      </c>
      <c r="AL6" s="32"/>
      <c r="AM6" s="32"/>
    </row>
    <row r="7" spans="1:39" ht="30" customHeight="1">
      <c r="A7" s="571"/>
      <c r="B7" s="571"/>
      <c r="C7" s="571"/>
      <c r="D7" s="571"/>
      <c r="E7" s="563"/>
      <c r="F7" s="563"/>
      <c r="G7" s="563" t="s">
        <v>7</v>
      </c>
      <c r="H7" s="563" t="s">
        <v>8</v>
      </c>
      <c r="I7" s="563"/>
      <c r="J7" s="553"/>
      <c r="K7" s="536" t="s">
        <v>10</v>
      </c>
      <c r="L7" s="538"/>
      <c r="M7" s="543" t="s">
        <v>9</v>
      </c>
      <c r="N7" s="543" t="s">
        <v>10</v>
      </c>
      <c r="O7" s="543"/>
      <c r="P7" s="551"/>
      <c r="Q7" s="571"/>
      <c r="R7" s="10"/>
      <c r="S7" s="31"/>
      <c r="T7" s="31"/>
      <c r="U7" s="32"/>
      <c r="V7" s="33" t="s">
        <v>287</v>
      </c>
      <c r="W7" s="32">
        <f>COUNTIF(S9:S866,"CT")</f>
        <v>0</v>
      </c>
      <c r="X7" s="58">
        <f>SUMIF(S9:S866,"CT",U9:U866)</f>
        <v>0</v>
      </c>
      <c r="Y7" s="58">
        <f>SUMIFS($U$9:$U$968,$S$9:$S$968,"CT",$T$9:$T$968,"GT")</f>
        <v>0</v>
      </c>
      <c r="Z7" s="58">
        <f>SUMIFS($U$9:$U$968,$S$9:$S$968,"CT",$T$9:$T$968,"NN-TL")</f>
        <v>0</v>
      </c>
      <c r="AA7" s="58">
        <f>SUMIFS($U$9:$U$968,$S$9:$S$968,"CT",$T$9:$T$968,"GDĐT")</f>
        <v>0</v>
      </c>
      <c r="AB7" s="58">
        <f>SUMIFS($U$9:$U$968,$S$9:$S$968,"CT",$T$9:$T$968,"YT")</f>
        <v>0</v>
      </c>
      <c r="AC7" s="58">
        <f>SUMIFS($U$9:$U$968,$S$9:$S$968,"CT",$T$9:$T$968,"VH")</f>
        <v>0</v>
      </c>
      <c r="AD7" s="58">
        <f>SUMIFS($U$9:$U$968,$S$9:$S$968,"CT",$T$9:$T$968,"TTTT")</f>
        <v>0</v>
      </c>
      <c r="AE7" s="58">
        <f>SUMIFS($U$9:$U$968,$S$9:$S$968,"CT",$T$9:$T$968,"XH-CC")</f>
        <v>0</v>
      </c>
      <c r="AF7" s="58">
        <f>SUMIFS($U$9:$U$968,$S$9:$S$968,"CT",$T$9:$T$968,"NS")</f>
        <v>0</v>
      </c>
      <c r="AG7" s="58">
        <f>SUMIFS($U$9:$U$968,$S$9:$S$968,"CT",$T$9:$T$968,"TNMT")</f>
        <v>0</v>
      </c>
      <c r="AH7" s="58">
        <f>SUMIFS($U$9:$U$968,$S$9:$S$968,"CT",$T$9:$T$968,"QLNN")</f>
        <v>0</v>
      </c>
      <c r="AI7" s="58">
        <f>SUMIFS($U$9:$U$968,$S$9:$S$968,"CT",$T$9:$T$968,"QPAN")</f>
        <v>0</v>
      </c>
      <c r="AJ7" s="58">
        <f>SUMIFS($U$9:$U$968,$S$9:$S$968,"CT",$T$9:$T$968,"PTĐT")</f>
        <v>0</v>
      </c>
      <c r="AK7" s="58">
        <f>SUMIFS($U$9:$U$968,$S$9:$S$968,"CT",$T$9:$T$968,"TMDV")</f>
        <v>0</v>
      </c>
      <c r="AL7" s="33">
        <f>SUM(Y7:AK7)</f>
        <v>0</v>
      </c>
      <c r="AM7" s="32"/>
    </row>
    <row r="8" spans="1:39" ht="83.25" customHeight="1">
      <c r="A8" s="571"/>
      <c r="B8" s="571"/>
      <c r="C8" s="571"/>
      <c r="D8" s="572"/>
      <c r="E8" s="563"/>
      <c r="F8" s="563"/>
      <c r="G8" s="563"/>
      <c r="H8" s="75" t="s">
        <v>58</v>
      </c>
      <c r="I8" s="75" t="s">
        <v>388</v>
      </c>
      <c r="J8" s="554"/>
      <c r="K8" s="83" t="s">
        <v>384</v>
      </c>
      <c r="L8" s="83" t="s">
        <v>397</v>
      </c>
      <c r="M8" s="543"/>
      <c r="N8" s="83" t="s">
        <v>416</v>
      </c>
      <c r="O8" s="83" t="s">
        <v>499</v>
      </c>
      <c r="P8" s="548"/>
      <c r="Q8" s="571"/>
      <c r="R8" s="4"/>
      <c r="S8" s="31"/>
      <c r="T8" s="31"/>
      <c r="U8" s="32"/>
      <c r="V8" s="32" t="s">
        <v>288</v>
      </c>
      <c r="W8" s="32">
        <f>COUNTIF(S9:S865,"KCM")</f>
        <v>2</v>
      </c>
      <c r="X8" s="58">
        <f>SUMIF(S20:S866,"KCM",U20:U866)</f>
        <v>0</v>
      </c>
      <c r="Y8" s="58">
        <f>SUMIFS($U$9:$U$968,$S$9:$S$968,"KCM",$T$9:$T$968,"GT")</f>
        <v>150000</v>
      </c>
      <c r="Z8" s="58">
        <f>SUMIFS($U$9:$U$968,$S$9:$S$968,"KCM",$T$9:$T$968,"NN-TL")</f>
        <v>0</v>
      </c>
      <c r="AA8" s="58">
        <f>SUMIFS($U$9:$U$968,$S$9:$S$968,"KCM",$T$9:$T$968,"GDĐT")</f>
        <v>0</v>
      </c>
      <c r="AB8" s="58">
        <f>SUMIFS($U$9:$U$968,$S$9:$S$968,"KCM",$T$9:$T$968,"YT")</f>
        <v>0</v>
      </c>
      <c r="AC8" s="58">
        <f>SUMIFS($U$9:$U$968,$S$9:$S$968,"KCM",$T$9:$T$968,"VH")</f>
        <v>0</v>
      </c>
      <c r="AD8" s="58">
        <f>SUMIFS($U$9:$U$968,$S$9:$S$968,"KCM",$T$9:$T$968,"TTTT")</f>
        <v>0</v>
      </c>
      <c r="AE8" s="58">
        <f>SUMIFS($U$9:$U$968,$S$9:$S$968,"KCM",$T$9:$T$968,"XH-CC")</f>
        <v>0</v>
      </c>
      <c r="AF8" s="58">
        <f>SUMIFS($U$9:$U$968,$S$9:$S$968,"KCM",$T$9:$T$968,"NS")</f>
        <v>0</v>
      </c>
      <c r="AG8" s="58">
        <f>SUMIFS($U$9:$U$968,$S$9:$S$968,"KCM",$T$9:$T$968,"TNMT")</f>
        <v>0</v>
      </c>
      <c r="AH8" s="58">
        <f>SUMIFS($U$9:$U$968,$S$9:$S$968,"KCM",$T$9:$T$968,"QLNN")</f>
        <v>0</v>
      </c>
      <c r="AI8" s="58">
        <f>SUMIFS($U$9:$U$968,$S$9:$S$968,"KCM",$T$9:$T$968,"QPAN")</f>
        <v>0</v>
      </c>
      <c r="AJ8" s="58">
        <f>SUMIFS($U$9:$U$968,$S$9:$S$968,"KCM",$T$9:$T$968,"PTĐT")</f>
        <v>0</v>
      </c>
      <c r="AK8" s="58">
        <f>SUMIFS($U$9:$U$968,$S$9:$S$968,"KCM",$T$9:$T$968,"TMDV")</f>
        <v>0</v>
      </c>
      <c r="AL8" s="33">
        <f>SUM(Y8:AK8)</f>
        <v>150000</v>
      </c>
      <c r="AM8" s="32"/>
    </row>
    <row r="9" spans="1:39" s="45" customFormat="1" ht="90" customHeight="1">
      <c r="A9" s="40"/>
      <c r="B9" s="159" t="s">
        <v>188</v>
      </c>
      <c r="C9" s="40"/>
      <c r="D9" s="40"/>
      <c r="E9" s="40"/>
      <c r="F9" s="40"/>
      <c r="G9" s="40"/>
      <c r="H9" s="42">
        <f>SUM(H10,H16)</f>
        <v>1700697</v>
      </c>
      <c r="I9" s="42">
        <f t="shared" ref="I9:P9" si="0">SUM(I10,I16)</f>
        <v>587227</v>
      </c>
      <c r="J9" s="42">
        <f t="shared" si="0"/>
        <v>168500</v>
      </c>
      <c r="K9" s="42">
        <f t="shared" si="0"/>
        <v>150000</v>
      </c>
      <c r="L9" s="42">
        <f t="shared" si="0"/>
        <v>0</v>
      </c>
      <c r="M9" s="42">
        <f t="shared" si="0"/>
        <v>133500</v>
      </c>
      <c r="N9" s="42">
        <f t="shared" si="0"/>
        <v>6300</v>
      </c>
      <c r="O9" s="42">
        <f t="shared" si="0"/>
        <v>120000</v>
      </c>
      <c r="P9" s="42">
        <f t="shared" si="0"/>
        <v>75000</v>
      </c>
      <c r="Q9" s="160" t="s">
        <v>389</v>
      </c>
      <c r="R9" s="44">
        <f>256158-K9</f>
        <v>106158</v>
      </c>
      <c r="S9" s="157"/>
      <c r="T9" s="157"/>
      <c r="U9" s="161"/>
      <c r="V9" s="161"/>
      <c r="W9" s="161"/>
      <c r="X9" s="161"/>
      <c r="Y9" s="161"/>
      <c r="Z9" s="161"/>
      <c r="AA9" s="161"/>
      <c r="AB9" s="161"/>
      <c r="AC9" s="161"/>
      <c r="AD9" s="161"/>
      <c r="AE9" s="161"/>
      <c r="AF9" s="161"/>
      <c r="AG9" s="161"/>
      <c r="AH9" s="161"/>
      <c r="AI9" s="161"/>
      <c r="AJ9" s="161"/>
      <c r="AK9" s="161"/>
      <c r="AL9" s="161"/>
      <c r="AM9" s="161"/>
    </row>
    <row r="10" spans="1:39" s="13" customFormat="1" ht="60" customHeight="1">
      <c r="A10" s="75" t="s">
        <v>14</v>
      </c>
      <c r="B10" s="19" t="s">
        <v>883</v>
      </c>
      <c r="C10" s="75"/>
      <c r="D10" s="75"/>
      <c r="E10" s="75"/>
      <c r="F10" s="75"/>
      <c r="G10" s="75"/>
      <c r="H10" s="5">
        <f>SUM(H11)</f>
        <v>1669427</v>
      </c>
      <c r="I10" s="5">
        <f t="shared" ref="I10:P10" si="1">SUM(I11)</f>
        <v>564427</v>
      </c>
      <c r="J10" s="5">
        <f t="shared" si="1"/>
        <v>150000</v>
      </c>
      <c r="K10" s="5">
        <f t="shared" si="1"/>
        <v>150000</v>
      </c>
      <c r="L10" s="5">
        <f t="shared" si="1"/>
        <v>0</v>
      </c>
      <c r="M10" s="5">
        <f t="shared" si="1"/>
        <v>120000</v>
      </c>
      <c r="N10" s="5">
        <f t="shared" si="1"/>
        <v>0</v>
      </c>
      <c r="O10" s="5">
        <f t="shared" si="1"/>
        <v>120000</v>
      </c>
      <c r="P10" s="5">
        <f t="shared" si="1"/>
        <v>70000</v>
      </c>
      <c r="Q10" s="20"/>
      <c r="S10" s="65"/>
      <c r="T10" s="65"/>
    </row>
    <row r="11" spans="1:39" s="13" customFormat="1" ht="60" customHeight="1">
      <c r="A11" s="75" t="s">
        <v>525</v>
      </c>
      <c r="B11" s="19" t="s">
        <v>15</v>
      </c>
      <c r="C11" s="75"/>
      <c r="D11" s="75"/>
      <c r="E11" s="75"/>
      <c r="F11" s="75"/>
      <c r="G11" s="75"/>
      <c r="H11" s="5">
        <f>SUM(H12,H14)</f>
        <v>1669427</v>
      </c>
      <c r="I11" s="5">
        <f t="shared" ref="I11:P11" si="2">SUM(I12,I14)</f>
        <v>564427</v>
      </c>
      <c r="J11" s="5">
        <f t="shared" si="2"/>
        <v>150000</v>
      </c>
      <c r="K11" s="5">
        <f t="shared" si="2"/>
        <v>150000</v>
      </c>
      <c r="L11" s="5">
        <f t="shared" si="2"/>
        <v>0</v>
      </c>
      <c r="M11" s="5">
        <f t="shared" si="2"/>
        <v>120000</v>
      </c>
      <c r="N11" s="5">
        <f t="shared" si="2"/>
        <v>0</v>
      </c>
      <c r="O11" s="5">
        <f t="shared" si="2"/>
        <v>120000</v>
      </c>
      <c r="P11" s="5">
        <f t="shared" si="2"/>
        <v>70000</v>
      </c>
      <c r="Q11" s="20"/>
      <c r="S11" s="65"/>
      <c r="T11" s="65"/>
    </row>
    <row r="12" spans="1:39" s="15" customFormat="1" ht="44.25" customHeight="1">
      <c r="A12" s="11" t="s">
        <v>16</v>
      </c>
      <c r="B12" s="12" t="s">
        <v>56</v>
      </c>
      <c r="C12" s="12"/>
      <c r="D12" s="11"/>
      <c r="E12" s="12"/>
      <c r="F12" s="12"/>
      <c r="G12" s="12"/>
      <c r="H12" s="21">
        <f t="shared" ref="H12:P14" si="3">SUM(H13:H13)</f>
        <v>211427</v>
      </c>
      <c r="I12" s="21">
        <f t="shared" si="3"/>
        <v>211427</v>
      </c>
      <c r="J12" s="21">
        <f t="shared" si="3"/>
        <v>150000</v>
      </c>
      <c r="K12" s="21">
        <f t="shared" si="3"/>
        <v>150000</v>
      </c>
      <c r="L12" s="21">
        <f t="shared" si="3"/>
        <v>0</v>
      </c>
      <c r="M12" s="21">
        <f t="shared" si="3"/>
        <v>120000</v>
      </c>
      <c r="N12" s="21">
        <f t="shared" si="3"/>
        <v>0</v>
      </c>
      <c r="O12" s="21">
        <f t="shared" si="3"/>
        <v>120000</v>
      </c>
      <c r="P12" s="21">
        <f>SUM(P13:P13)</f>
        <v>30000</v>
      </c>
      <c r="Q12" s="14"/>
      <c r="S12" s="35"/>
      <c r="T12" s="35"/>
    </row>
    <row r="13" spans="1:39" ht="93" customHeight="1">
      <c r="A13" s="7">
        <v>1</v>
      </c>
      <c r="B13" s="3" t="s">
        <v>390</v>
      </c>
      <c r="C13" s="67" t="s">
        <v>391</v>
      </c>
      <c r="D13" s="59" t="s">
        <v>21</v>
      </c>
      <c r="E13" s="67" t="s">
        <v>392</v>
      </c>
      <c r="F13" s="67" t="s">
        <v>240</v>
      </c>
      <c r="G13" s="162" t="s">
        <v>393</v>
      </c>
      <c r="H13" s="26">
        <v>211427</v>
      </c>
      <c r="I13" s="26">
        <v>211427</v>
      </c>
      <c r="J13" s="26">
        <f>SUM(K13:L13)</f>
        <v>150000</v>
      </c>
      <c r="K13" s="25">
        <v>150000</v>
      </c>
      <c r="L13" s="25"/>
      <c r="M13" s="26">
        <f>SUM(N13:O13)</f>
        <v>120000</v>
      </c>
      <c r="N13" s="25"/>
      <c r="O13" s="53">
        <v>120000</v>
      </c>
      <c r="P13" s="26">
        <v>30000</v>
      </c>
      <c r="Q13" s="68" t="s">
        <v>394</v>
      </c>
      <c r="S13" s="17" t="s">
        <v>290</v>
      </c>
      <c r="T13" s="17" t="s">
        <v>291</v>
      </c>
      <c r="U13" s="4">
        <f>K13</f>
        <v>150000</v>
      </c>
    </row>
    <row r="14" spans="1:39" s="15" customFormat="1" ht="44.25" customHeight="1">
      <c r="A14" s="11" t="s">
        <v>24</v>
      </c>
      <c r="B14" s="12" t="s">
        <v>63</v>
      </c>
      <c r="C14" s="12"/>
      <c r="D14" s="11"/>
      <c r="E14" s="12"/>
      <c r="F14" s="12"/>
      <c r="G14" s="12"/>
      <c r="H14" s="21">
        <f t="shared" si="3"/>
        <v>1458000</v>
      </c>
      <c r="I14" s="21">
        <f t="shared" si="3"/>
        <v>353000</v>
      </c>
      <c r="J14" s="21">
        <f t="shared" si="3"/>
        <v>0</v>
      </c>
      <c r="K14" s="21">
        <f t="shared" si="3"/>
        <v>0</v>
      </c>
      <c r="L14" s="21">
        <f t="shared" si="3"/>
        <v>0</v>
      </c>
      <c r="M14" s="21">
        <f t="shared" si="3"/>
        <v>0</v>
      </c>
      <c r="N14" s="21">
        <f t="shared" si="3"/>
        <v>0</v>
      </c>
      <c r="O14" s="21">
        <f t="shared" si="3"/>
        <v>0</v>
      </c>
      <c r="P14" s="21">
        <f t="shared" si="3"/>
        <v>40000</v>
      </c>
      <c r="Q14" s="14"/>
      <c r="S14" s="35"/>
      <c r="T14" s="35"/>
    </row>
    <row r="15" spans="1:39" ht="186.75" customHeight="1">
      <c r="A15" s="7">
        <v>1</v>
      </c>
      <c r="B15" s="69" t="s">
        <v>470</v>
      </c>
      <c r="C15" s="113" t="s">
        <v>471</v>
      </c>
      <c r="D15" s="71" t="s">
        <v>21</v>
      </c>
      <c r="E15" s="67" t="s">
        <v>472</v>
      </c>
      <c r="F15" s="67" t="s">
        <v>473</v>
      </c>
      <c r="G15" s="67" t="s">
        <v>965</v>
      </c>
      <c r="H15" s="25">
        <v>1458000</v>
      </c>
      <c r="I15" s="26">
        <v>353000</v>
      </c>
      <c r="J15" s="26"/>
      <c r="K15" s="25"/>
      <c r="L15" s="25"/>
      <c r="M15" s="26">
        <f>SUM(N15:O15)</f>
        <v>0</v>
      </c>
      <c r="N15" s="25"/>
      <c r="O15" s="53"/>
      <c r="P15" s="26">
        <v>40000</v>
      </c>
      <c r="Q15" s="68"/>
      <c r="S15" s="17" t="s">
        <v>290</v>
      </c>
      <c r="T15" s="17" t="s">
        <v>291</v>
      </c>
      <c r="U15" s="4">
        <f>K15</f>
        <v>0</v>
      </c>
    </row>
    <row r="16" spans="1:39" s="13" customFormat="1" ht="60" customHeight="1">
      <c r="A16" s="75" t="s">
        <v>34</v>
      </c>
      <c r="B16" s="19" t="s">
        <v>885</v>
      </c>
      <c r="C16" s="75"/>
      <c r="D16" s="75"/>
      <c r="E16" s="75"/>
      <c r="F16" s="75"/>
      <c r="G16" s="75"/>
      <c r="H16" s="5">
        <f>SUM(H17)</f>
        <v>31270</v>
      </c>
      <c r="I16" s="5">
        <f t="shared" ref="I16:P17" si="4">SUM(I17)</f>
        <v>22800</v>
      </c>
      <c r="J16" s="5">
        <f t="shared" si="4"/>
        <v>18500</v>
      </c>
      <c r="K16" s="5">
        <f t="shared" si="4"/>
        <v>0</v>
      </c>
      <c r="L16" s="5">
        <f t="shared" si="4"/>
        <v>0</v>
      </c>
      <c r="M16" s="5">
        <f t="shared" si="4"/>
        <v>13500</v>
      </c>
      <c r="N16" s="5">
        <f t="shared" si="4"/>
        <v>6300</v>
      </c>
      <c r="O16" s="5">
        <f t="shared" si="4"/>
        <v>0</v>
      </c>
      <c r="P16" s="5">
        <f t="shared" si="4"/>
        <v>5000</v>
      </c>
      <c r="Q16" s="20"/>
      <c r="S16" s="65"/>
      <c r="T16" s="65"/>
    </row>
    <row r="17" spans="1:21" s="13" customFormat="1" ht="60" customHeight="1">
      <c r="A17" s="75" t="s">
        <v>525</v>
      </c>
      <c r="B17" s="19" t="s">
        <v>15</v>
      </c>
      <c r="C17" s="75"/>
      <c r="D17" s="75"/>
      <c r="E17" s="75"/>
      <c r="F17" s="75"/>
      <c r="G17" s="75"/>
      <c r="H17" s="5">
        <f t="shared" ref="H17" si="5">SUM(H18)</f>
        <v>31270</v>
      </c>
      <c r="I17" s="5">
        <f t="shared" si="4"/>
        <v>22800</v>
      </c>
      <c r="J17" s="5">
        <f t="shared" si="4"/>
        <v>18500</v>
      </c>
      <c r="K17" s="5">
        <f t="shared" si="4"/>
        <v>0</v>
      </c>
      <c r="L17" s="5">
        <f t="shared" si="4"/>
        <v>0</v>
      </c>
      <c r="M17" s="5">
        <f t="shared" si="4"/>
        <v>13500</v>
      </c>
      <c r="N17" s="5">
        <f t="shared" si="4"/>
        <v>6300</v>
      </c>
      <c r="O17" s="5">
        <f t="shared" si="4"/>
        <v>0</v>
      </c>
      <c r="P17" s="5">
        <f>SUM(P18)</f>
        <v>5000</v>
      </c>
      <c r="Q17" s="20"/>
      <c r="S17" s="65"/>
      <c r="T17" s="65"/>
    </row>
    <row r="18" spans="1:21" s="15" customFormat="1" ht="44.25" customHeight="1">
      <c r="A18" s="11" t="s">
        <v>16</v>
      </c>
      <c r="B18" s="12" t="s">
        <v>228</v>
      </c>
      <c r="C18" s="12"/>
      <c r="D18" s="11"/>
      <c r="E18" s="12"/>
      <c r="F18" s="12"/>
      <c r="G18" s="12"/>
      <c r="H18" s="21">
        <f>SUM(H19)</f>
        <v>31270</v>
      </c>
      <c r="I18" s="21">
        <f t="shared" ref="I18:O18" si="6">SUM(I19)</f>
        <v>22800</v>
      </c>
      <c r="J18" s="21">
        <f t="shared" si="6"/>
        <v>18500</v>
      </c>
      <c r="K18" s="21">
        <f t="shared" si="6"/>
        <v>0</v>
      </c>
      <c r="L18" s="21">
        <f t="shared" si="6"/>
        <v>0</v>
      </c>
      <c r="M18" s="21">
        <f t="shared" si="6"/>
        <v>13500</v>
      </c>
      <c r="N18" s="21">
        <f t="shared" si="6"/>
        <v>6300</v>
      </c>
      <c r="O18" s="21">
        <f t="shared" si="6"/>
        <v>0</v>
      </c>
      <c r="P18" s="21">
        <f>SUM(P19)</f>
        <v>5000</v>
      </c>
      <c r="Q18" s="14"/>
      <c r="S18" s="35"/>
      <c r="T18" s="35"/>
    </row>
    <row r="19" spans="1:21" ht="93" customHeight="1">
      <c r="A19" s="7">
        <v>1</v>
      </c>
      <c r="B19" s="3" t="s">
        <v>852</v>
      </c>
      <c r="C19" s="67" t="s">
        <v>853</v>
      </c>
      <c r="D19" s="59" t="s">
        <v>19</v>
      </c>
      <c r="E19" s="67" t="s">
        <v>854</v>
      </c>
      <c r="F19" s="67" t="s">
        <v>39</v>
      </c>
      <c r="G19" s="162" t="s">
        <v>855</v>
      </c>
      <c r="H19" s="26">
        <v>31270</v>
      </c>
      <c r="I19" s="26">
        <v>22800</v>
      </c>
      <c r="J19" s="26">
        <f>13500+5000</f>
        <v>18500</v>
      </c>
      <c r="K19" s="25"/>
      <c r="L19" s="25"/>
      <c r="M19" s="26">
        <v>13500</v>
      </c>
      <c r="N19" s="25">
        <v>6300</v>
      </c>
      <c r="O19" s="53"/>
      <c r="P19" s="26">
        <v>5000</v>
      </c>
      <c r="Q19" s="68"/>
      <c r="U19" s="4"/>
    </row>
    <row r="20" spans="1:21" ht="12.75" customHeight="1"/>
    <row r="22" spans="1:21">
      <c r="K22" s="4"/>
      <c r="L22" s="4"/>
      <c r="M22" s="4"/>
      <c r="N22" s="4"/>
      <c r="O22" s="4"/>
      <c r="P22" s="4"/>
    </row>
  </sheetData>
  <mergeCells count="20">
    <mergeCell ref="A3:Q3"/>
    <mergeCell ref="N7:O7"/>
    <mergeCell ref="K7:L7"/>
    <mergeCell ref="J6:J8"/>
    <mergeCell ref="A1:Q1"/>
    <mergeCell ref="A2:Q2"/>
    <mergeCell ref="A4:Q4"/>
    <mergeCell ref="A6:A8"/>
    <mergeCell ref="B6:B8"/>
    <mergeCell ref="C6:C8"/>
    <mergeCell ref="D6:D8"/>
    <mergeCell ref="E6:E8"/>
    <mergeCell ref="F6:F8"/>
    <mergeCell ref="G6:I6"/>
    <mergeCell ref="Q6:Q8"/>
    <mergeCell ref="G7:G8"/>
    <mergeCell ref="H7:I7"/>
    <mergeCell ref="P6:P8"/>
    <mergeCell ref="M7:M8"/>
    <mergeCell ref="M6:O6"/>
  </mergeCells>
  <printOptions horizontalCentered="1"/>
  <pageMargins left="0.39370078740157499" right="0.39370078740157499" top="0.39370078740157499" bottom="0.39370078740157499" header="0.196850393700787" footer="0.196850393700787"/>
  <pageSetup paperSize="9" scale="45" fitToHeight="0" orientation="landscape" r:id="rId1"/>
  <headerFooter alignWithMargins="0">
    <oddFooter>&amp;C&amp;"Times New Roman,thường"&amp;11&amp;P/&amp;N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I15"/>
  <sheetViews>
    <sheetView view="pageBreakPreview" zoomScale="60" zoomScaleNormal="70" workbookViewId="0">
      <selection activeCell="E10" sqref="E10"/>
    </sheetView>
  </sheetViews>
  <sheetFormatPr defaultColWidth="9.109375" defaultRowHeight="16.8"/>
  <cols>
    <col min="1" max="1" width="8.6640625" style="8" customWidth="1"/>
    <col min="2" max="2" width="50.6640625" style="8" customWidth="1"/>
    <col min="3" max="3" width="20.6640625" style="8" customWidth="1"/>
    <col min="4" max="4" width="20.6640625" style="17" customWidth="1"/>
    <col min="5" max="6" width="20.6640625" style="8" customWidth="1"/>
    <col min="7" max="7" width="22.6640625" style="8" customWidth="1"/>
    <col min="8" max="12" width="15.6640625" style="8" customWidth="1"/>
    <col min="13" max="13" width="30.6640625" style="8" customWidth="1"/>
    <col min="14" max="14" width="19.109375" style="8" customWidth="1"/>
    <col min="15" max="15" width="14.88671875" style="17" customWidth="1"/>
    <col min="16" max="16" width="13.44140625" style="17" customWidth="1"/>
    <col min="17" max="17" width="17.88671875" style="8" customWidth="1"/>
    <col min="18" max="18" width="19.33203125" style="8" customWidth="1"/>
    <col min="19" max="19" width="17.33203125" style="8" customWidth="1"/>
    <col min="20" max="20" width="15.33203125" style="8" customWidth="1"/>
    <col min="21" max="21" width="13.109375" style="8" bestFit="1" customWidth="1"/>
    <col min="22" max="22" width="12.88671875" style="8" bestFit="1" customWidth="1"/>
    <col min="23" max="24" width="9.33203125" style="8" bestFit="1" customWidth="1"/>
    <col min="25" max="25" width="11.44140625" style="8" bestFit="1" customWidth="1"/>
    <col min="26" max="26" width="9.33203125" style="8" bestFit="1" customWidth="1"/>
    <col min="27" max="27" width="12.88671875" style="8" bestFit="1" customWidth="1"/>
    <col min="28" max="28" width="9.33203125" style="8" bestFit="1" customWidth="1"/>
    <col min="29" max="29" width="12.44140625" style="8" customWidth="1"/>
    <col min="30" max="30" width="15.33203125" style="8" customWidth="1"/>
    <col min="31" max="31" width="15" style="8" customWidth="1"/>
    <col min="32" max="32" width="9.33203125" style="8" bestFit="1" customWidth="1"/>
    <col min="33" max="33" width="11.44140625" style="8" bestFit="1" customWidth="1"/>
    <col min="34" max="34" width="14.88671875" style="8" customWidth="1"/>
    <col min="35" max="16384" width="9.109375" style="8"/>
  </cols>
  <sheetData>
    <row r="1" spans="1:35" ht="39.9" customHeight="1">
      <c r="A1" s="567" t="s">
        <v>264</v>
      </c>
      <c r="B1" s="567"/>
      <c r="C1" s="567"/>
      <c r="D1" s="567"/>
      <c r="E1" s="567"/>
      <c r="F1" s="567"/>
      <c r="G1" s="567"/>
      <c r="H1" s="567"/>
      <c r="I1" s="567"/>
      <c r="J1" s="567"/>
      <c r="K1" s="567"/>
      <c r="L1" s="567"/>
      <c r="M1" s="567"/>
      <c r="N1" s="17"/>
      <c r="O1" s="8"/>
      <c r="P1" s="8"/>
    </row>
    <row r="2" spans="1:35" ht="35.1" customHeight="1">
      <c r="A2" s="568" t="s">
        <v>726</v>
      </c>
      <c r="B2" s="568"/>
      <c r="C2" s="568"/>
      <c r="D2" s="568"/>
      <c r="E2" s="568"/>
      <c r="F2" s="568"/>
      <c r="G2" s="568"/>
      <c r="H2" s="568"/>
      <c r="I2" s="568"/>
      <c r="J2" s="568"/>
      <c r="K2" s="568"/>
      <c r="L2" s="568"/>
      <c r="M2" s="568"/>
      <c r="N2" s="17"/>
      <c r="O2" s="8"/>
      <c r="P2" s="8"/>
    </row>
    <row r="3" spans="1:35" ht="35.1" customHeight="1">
      <c r="A3" s="568" t="s">
        <v>734</v>
      </c>
      <c r="B3" s="568"/>
      <c r="C3" s="568"/>
      <c r="D3" s="568"/>
      <c r="E3" s="568"/>
      <c r="F3" s="568"/>
      <c r="G3" s="568"/>
      <c r="H3" s="568"/>
      <c r="I3" s="568"/>
      <c r="J3" s="568"/>
      <c r="K3" s="568"/>
      <c r="L3" s="568"/>
      <c r="M3" s="568"/>
      <c r="N3" s="17"/>
      <c r="O3" s="8"/>
      <c r="P3" s="8"/>
    </row>
    <row r="4" spans="1:35" s="49" customFormat="1" ht="39.9" customHeight="1">
      <c r="A4" s="602" t="str">
        <f>'10. VTXSKT2022'!A4:Q4</f>
        <v>(Ban hành kèm theo Quyết định số: 2631/QĐ-UBND ngày 19/12 /2024 của Ủy ban nhân dân tỉnh)</v>
      </c>
      <c r="B4" s="602"/>
      <c r="C4" s="602"/>
      <c r="D4" s="602"/>
      <c r="E4" s="602"/>
      <c r="F4" s="602"/>
      <c r="G4" s="602"/>
      <c r="H4" s="602"/>
      <c r="I4" s="602"/>
      <c r="J4" s="602"/>
      <c r="K4" s="602"/>
      <c r="L4" s="602"/>
      <c r="M4" s="602"/>
      <c r="N4" s="50"/>
    </row>
    <row r="5" spans="1:35" ht="33.75" customHeight="1">
      <c r="J5" s="9"/>
      <c r="K5" s="9"/>
      <c r="L5" s="9"/>
      <c r="M5" s="9" t="s">
        <v>0</v>
      </c>
    </row>
    <row r="6" spans="1:35" ht="39" customHeight="1">
      <c r="A6" s="570" t="s">
        <v>1</v>
      </c>
      <c r="B6" s="570" t="s">
        <v>2</v>
      </c>
      <c r="C6" s="570" t="s">
        <v>3</v>
      </c>
      <c r="D6" s="570" t="s">
        <v>321</v>
      </c>
      <c r="E6" s="563" t="s">
        <v>4</v>
      </c>
      <c r="F6" s="563" t="s">
        <v>5</v>
      </c>
      <c r="G6" s="563" t="s">
        <v>600</v>
      </c>
      <c r="H6" s="563"/>
      <c r="I6" s="563"/>
      <c r="J6" s="552" t="s">
        <v>850</v>
      </c>
      <c r="K6" s="547" t="s">
        <v>849</v>
      </c>
      <c r="L6" s="547" t="s">
        <v>424</v>
      </c>
      <c r="M6" s="570" t="s">
        <v>6</v>
      </c>
      <c r="N6" s="10"/>
      <c r="O6" s="31" t="s">
        <v>269</v>
      </c>
      <c r="P6" s="31" t="s">
        <v>270</v>
      </c>
      <c r="Q6" s="32" t="s">
        <v>271</v>
      </c>
      <c r="R6" s="32"/>
      <c r="S6" s="32" t="s">
        <v>272</v>
      </c>
      <c r="T6" s="31" t="s">
        <v>273</v>
      </c>
      <c r="U6" s="31" t="s">
        <v>274</v>
      </c>
      <c r="V6" s="31" t="s">
        <v>275</v>
      </c>
      <c r="W6" s="31" t="s">
        <v>276</v>
      </c>
      <c r="X6" s="31" t="s">
        <v>277</v>
      </c>
      <c r="Y6" s="31" t="s">
        <v>278</v>
      </c>
      <c r="Z6" s="31" t="s">
        <v>279</v>
      </c>
      <c r="AA6" s="31" t="s">
        <v>280</v>
      </c>
      <c r="AB6" s="31" t="s">
        <v>281</v>
      </c>
      <c r="AC6" s="31" t="s">
        <v>282</v>
      </c>
      <c r="AD6" s="31" t="s">
        <v>283</v>
      </c>
      <c r="AE6" s="31" t="s">
        <v>284</v>
      </c>
      <c r="AF6" s="31" t="s">
        <v>285</v>
      </c>
      <c r="AG6" s="31" t="s">
        <v>286</v>
      </c>
      <c r="AH6" s="32"/>
      <c r="AI6" s="32"/>
    </row>
    <row r="7" spans="1:35" ht="30" customHeight="1">
      <c r="A7" s="571"/>
      <c r="B7" s="571"/>
      <c r="C7" s="571"/>
      <c r="D7" s="571"/>
      <c r="E7" s="563"/>
      <c r="F7" s="563"/>
      <c r="G7" s="563" t="s">
        <v>7</v>
      </c>
      <c r="H7" s="563" t="s">
        <v>8</v>
      </c>
      <c r="I7" s="563"/>
      <c r="J7" s="553"/>
      <c r="K7" s="551"/>
      <c r="L7" s="551"/>
      <c r="M7" s="571"/>
      <c r="N7" s="10"/>
      <c r="O7" s="31"/>
      <c r="P7" s="31"/>
      <c r="Q7" s="32"/>
      <c r="R7" s="33" t="s">
        <v>287</v>
      </c>
      <c r="S7" s="32">
        <f>COUNTIF(O9:O859,"CT")</f>
        <v>0</v>
      </c>
      <c r="T7" s="58">
        <f>SUMIF(O9:O859,"CT",Q9:Q859)</f>
        <v>0</v>
      </c>
      <c r="U7" s="58">
        <f>SUMIFS($Q$9:$Q$961,$O$9:$O$961,"CT",$P$9:$P$961,"GT")</f>
        <v>0</v>
      </c>
      <c r="V7" s="58">
        <f>SUMIFS($Q$9:$Q$961,$O$9:$O$961,"CT",$P$9:$P$961,"NN-TL")</f>
        <v>0</v>
      </c>
      <c r="W7" s="58">
        <f>SUMIFS($Q$9:$Q$961,$O$9:$O$961,"CT",$P$9:$P$961,"GDĐT")</f>
        <v>0</v>
      </c>
      <c r="X7" s="58">
        <f>SUMIFS($Q$9:$Q$961,$O$9:$O$961,"CT",$P$9:$P$961,"YT")</f>
        <v>0</v>
      </c>
      <c r="Y7" s="58">
        <f>SUMIFS($Q$9:$Q$961,$O$9:$O$961,"CT",$P$9:$P$961,"VH")</f>
        <v>0</v>
      </c>
      <c r="Z7" s="58">
        <f>SUMIFS($Q$9:$Q$961,$O$9:$O$961,"CT",$P$9:$P$961,"TTTT")</f>
        <v>0</v>
      </c>
      <c r="AA7" s="58">
        <f>SUMIFS($Q$9:$Q$961,$O$9:$O$961,"CT",$P$9:$P$961,"XH-CC")</f>
        <v>0</v>
      </c>
      <c r="AB7" s="58">
        <f>SUMIFS($Q$9:$Q$961,$O$9:$O$961,"CT",$P$9:$P$961,"NS")</f>
        <v>0</v>
      </c>
      <c r="AC7" s="58">
        <f>SUMIFS($Q$9:$Q$961,$O$9:$O$961,"CT",$P$9:$P$961,"TNMT")</f>
        <v>0</v>
      </c>
      <c r="AD7" s="58">
        <f>SUMIFS($Q$9:$Q$961,$O$9:$O$961,"CT",$P$9:$P$961,"QLNN")</f>
        <v>0</v>
      </c>
      <c r="AE7" s="58">
        <f>SUMIFS($Q$9:$Q$961,$O$9:$O$961,"CT",$P$9:$P$961,"QPAN")</f>
        <v>0</v>
      </c>
      <c r="AF7" s="58">
        <f>SUMIFS($Q$9:$Q$961,$O$9:$O$961,"CT",$P$9:$P$961,"PTĐT")</f>
        <v>0</v>
      </c>
      <c r="AG7" s="58">
        <f>SUMIFS($Q$9:$Q$961,$O$9:$O$961,"CT",$P$9:$P$961,"TMDV")</f>
        <v>0</v>
      </c>
      <c r="AH7" s="33">
        <f>SUM(U7:AG7)</f>
        <v>0</v>
      </c>
      <c r="AI7" s="32"/>
    </row>
    <row r="8" spans="1:35" ht="83.25" customHeight="1">
      <c r="A8" s="571"/>
      <c r="B8" s="571"/>
      <c r="C8" s="571"/>
      <c r="D8" s="572"/>
      <c r="E8" s="563"/>
      <c r="F8" s="563"/>
      <c r="G8" s="563"/>
      <c r="H8" s="75" t="s">
        <v>58</v>
      </c>
      <c r="I8" s="75" t="s">
        <v>417</v>
      </c>
      <c r="J8" s="554"/>
      <c r="K8" s="548"/>
      <c r="L8" s="548"/>
      <c r="M8" s="571"/>
      <c r="N8" s="4"/>
      <c r="O8" s="31"/>
      <c r="P8" s="31"/>
      <c r="Q8" s="32"/>
      <c r="R8" s="32" t="s">
        <v>288</v>
      </c>
      <c r="S8" s="32">
        <f>COUNTIF(O9:O858,"KCM")</f>
        <v>1</v>
      </c>
      <c r="T8" s="58">
        <f>SUMIF(O13:O859,"KCM",Q13:Q859)</f>
        <v>0</v>
      </c>
      <c r="U8" s="58">
        <f>SUMIFS($Q$9:$Q$961,$O$9:$O$961,"KCM",$P$9:$P$961,"GT")</f>
        <v>1240000</v>
      </c>
      <c r="V8" s="58">
        <f>SUMIFS($Q$9:$Q$961,$O$9:$O$961,"KCM",$P$9:$P$961,"NN-TL")</f>
        <v>0</v>
      </c>
      <c r="W8" s="58">
        <f>SUMIFS($Q$9:$Q$961,$O$9:$O$961,"KCM",$P$9:$P$961,"GDĐT")</f>
        <v>0</v>
      </c>
      <c r="X8" s="58">
        <f>SUMIFS($Q$9:$Q$961,$O$9:$O$961,"KCM",$P$9:$P$961,"YT")</f>
        <v>0</v>
      </c>
      <c r="Y8" s="58">
        <f>SUMIFS($Q$9:$Q$961,$O$9:$O$961,"KCM",$P$9:$P$961,"VH")</f>
        <v>0</v>
      </c>
      <c r="Z8" s="58">
        <f>SUMIFS($Q$9:$Q$961,$O$9:$O$961,"KCM",$P$9:$P$961,"TTTT")</f>
        <v>0</v>
      </c>
      <c r="AA8" s="58">
        <f>SUMIFS($Q$9:$Q$961,$O$9:$O$961,"KCM",$P$9:$P$961,"XH-CC")</f>
        <v>0</v>
      </c>
      <c r="AB8" s="58">
        <f>SUMIFS($Q$9:$Q$961,$O$9:$O$961,"KCM",$P$9:$P$961,"NS")</f>
        <v>0</v>
      </c>
      <c r="AC8" s="58">
        <f>SUMIFS($Q$9:$Q$961,$O$9:$O$961,"KCM",$P$9:$P$961,"TNMT")</f>
        <v>0</v>
      </c>
      <c r="AD8" s="58">
        <f>SUMIFS($Q$9:$Q$961,$O$9:$O$961,"KCM",$P$9:$P$961,"QLNN")</f>
        <v>0</v>
      </c>
      <c r="AE8" s="58">
        <f>SUMIFS($Q$9:$Q$961,$O$9:$O$961,"KCM",$P$9:$P$961,"QPAN")</f>
        <v>0</v>
      </c>
      <c r="AF8" s="58">
        <f>SUMIFS($Q$9:$Q$961,$O$9:$O$961,"KCM",$P$9:$P$961,"PTĐT")</f>
        <v>0</v>
      </c>
      <c r="AG8" s="58">
        <f>SUMIFS($Q$9:$Q$961,$O$9:$O$961,"KCM",$P$9:$P$961,"TMDV")</f>
        <v>0</v>
      </c>
      <c r="AH8" s="33">
        <f>SUM(U8:AG8)</f>
        <v>1240000</v>
      </c>
      <c r="AI8" s="32"/>
    </row>
    <row r="9" spans="1:35" s="45" customFormat="1" ht="50.1" customHeight="1">
      <c r="A9" s="40"/>
      <c r="B9" s="159" t="s">
        <v>188</v>
      </c>
      <c r="C9" s="40"/>
      <c r="D9" s="40"/>
      <c r="E9" s="40"/>
      <c r="F9" s="40"/>
      <c r="G9" s="40"/>
      <c r="H9" s="42">
        <f>SUM(H10)</f>
        <v>4731480</v>
      </c>
      <c r="I9" s="42">
        <f t="shared" ref="I9:L10" si="0">SUM(I10)</f>
        <v>0</v>
      </c>
      <c r="J9" s="42">
        <f t="shared" si="0"/>
        <v>1240000</v>
      </c>
      <c r="K9" s="42">
        <f t="shared" si="0"/>
        <v>220000</v>
      </c>
      <c r="L9" s="42">
        <f t="shared" si="0"/>
        <v>640000</v>
      </c>
      <c r="M9" s="160"/>
      <c r="N9" s="44">
        <f>256158-J9</f>
        <v>-983842</v>
      </c>
      <c r="O9" s="157"/>
      <c r="P9" s="157"/>
      <c r="Q9" s="161"/>
      <c r="R9" s="161"/>
      <c r="S9" s="161"/>
      <c r="T9" s="161"/>
      <c r="U9" s="161"/>
      <c r="V9" s="161"/>
      <c r="W9" s="161"/>
      <c r="X9" s="161"/>
      <c r="Y9" s="161"/>
      <c r="Z9" s="161"/>
      <c r="AA9" s="161"/>
      <c r="AB9" s="161"/>
      <c r="AC9" s="161"/>
      <c r="AD9" s="161"/>
      <c r="AE9" s="161"/>
      <c r="AF9" s="161"/>
      <c r="AG9" s="161"/>
      <c r="AH9" s="161"/>
      <c r="AI9" s="161"/>
    </row>
    <row r="10" spans="1:35" s="13" customFormat="1" ht="39.9" customHeight="1">
      <c r="A10" s="75"/>
      <c r="B10" s="19" t="s">
        <v>15</v>
      </c>
      <c r="C10" s="75"/>
      <c r="D10" s="75"/>
      <c r="E10" s="75"/>
      <c r="F10" s="75"/>
      <c r="G10" s="75"/>
      <c r="H10" s="5">
        <f>SUM(H11)</f>
        <v>4731480</v>
      </c>
      <c r="I10" s="5">
        <f t="shared" si="0"/>
        <v>0</v>
      </c>
      <c r="J10" s="5">
        <f t="shared" si="0"/>
        <v>1240000</v>
      </c>
      <c r="K10" s="5">
        <f t="shared" si="0"/>
        <v>220000</v>
      </c>
      <c r="L10" s="5">
        <f t="shared" si="0"/>
        <v>640000</v>
      </c>
      <c r="M10" s="20"/>
      <c r="O10" s="65"/>
      <c r="P10" s="65"/>
    </row>
    <row r="11" spans="1:35" s="15" customFormat="1" ht="39.9" customHeight="1">
      <c r="A11" s="11"/>
      <c r="B11" s="12" t="s">
        <v>418</v>
      </c>
      <c r="C11" s="12"/>
      <c r="D11" s="11"/>
      <c r="E11" s="12"/>
      <c r="F11" s="12"/>
      <c r="G11" s="12"/>
      <c r="H11" s="21">
        <f>SUM(H12:H12)</f>
        <v>4731480</v>
      </c>
      <c r="I11" s="21">
        <f>SUM(I12:I12)</f>
        <v>0</v>
      </c>
      <c r="J11" s="21">
        <f>SUM(J12:J12)</f>
        <v>1240000</v>
      </c>
      <c r="K11" s="21">
        <f>SUM(K12:K12)</f>
        <v>220000</v>
      </c>
      <c r="L11" s="21">
        <f>SUM(L12:L12)</f>
        <v>640000</v>
      </c>
      <c r="M11" s="14"/>
      <c r="O11" s="35"/>
      <c r="P11" s="35"/>
    </row>
    <row r="12" spans="1:35" s="292" customFormat="1" ht="156" customHeight="1">
      <c r="A12" s="334">
        <v>1</v>
      </c>
      <c r="B12" s="409" t="s">
        <v>419</v>
      </c>
      <c r="C12" s="334" t="s">
        <v>17</v>
      </c>
      <c r="D12" s="449" t="s">
        <v>77</v>
      </c>
      <c r="E12" s="334" t="s">
        <v>350</v>
      </c>
      <c r="F12" s="426" t="s">
        <v>39</v>
      </c>
      <c r="G12" s="334" t="s">
        <v>420</v>
      </c>
      <c r="H12" s="283">
        <v>4731480</v>
      </c>
      <c r="I12" s="283">
        <v>0</v>
      </c>
      <c r="J12" s="283">
        <v>1240000</v>
      </c>
      <c r="K12" s="283">
        <v>220000</v>
      </c>
      <c r="L12" s="283">
        <f>260000+380000</f>
        <v>640000</v>
      </c>
      <c r="M12" s="341" t="s">
        <v>921</v>
      </c>
      <c r="O12" s="293" t="s">
        <v>290</v>
      </c>
      <c r="P12" s="293" t="s">
        <v>291</v>
      </c>
      <c r="Q12" s="302">
        <f>J12</f>
        <v>1240000</v>
      </c>
    </row>
    <row r="13" spans="1:35" ht="12.75" customHeight="1"/>
    <row r="15" spans="1:35">
      <c r="J15" s="4"/>
      <c r="K15" s="4"/>
      <c r="L15" s="4"/>
    </row>
  </sheetData>
  <mergeCells count="17">
    <mergeCell ref="H7:I7"/>
    <mergeCell ref="A1:M1"/>
    <mergeCell ref="A2:M2"/>
    <mergeCell ref="A4:M4"/>
    <mergeCell ref="A6:A8"/>
    <mergeCell ref="B6:B8"/>
    <mergeCell ref="C6:C8"/>
    <mergeCell ref="D6:D8"/>
    <mergeCell ref="E6:E8"/>
    <mergeCell ref="F6:F8"/>
    <mergeCell ref="G6:I6"/>
    <mergeCell ref="K6:K8"/>
    <mergeCell ref="L6:L8"/>
    <mergeCell ref="A3:M3"/>
    <mergeCell ref="J6:J8"/>
    <mergeCell ref="M6:M8"/>
    <mergeCell ref="G7:G8"/>
  </mergeCells>
  <printOptions horizontalCentered="1"/>
  <pageMargins left="0.39370078740157499" right="0.39370078740157499" top="0.39370078740157499" bottom="0.39370078740157499" header="0.196850393700787" footer="0.196850393700787"/>
  <pageSetup paperSize="9" scale="51" fitToHeight="0" orientation="landscape" r:id="rId1"/>
  <headerFooter alignWithMargins="0">
    <oddFooter>&amp;C&amp;"Times New Roman,thường"&amp;11&amp;P/&amp;N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I12"/>
  <sheetViews>
    <sheetView view="pageBreakPreview" zoomScale="60" zoomScaleNormal="60" workbookViewId="0">
      <selection activeCell="M9" sqref="M9"/>
    </sheetView>
  </sheetViews>
  <sheetFormatPr defaultColWidth="8.33203125" defaultRowHeight="16.8"/>
  <cols>
    <col min="1" max="1" width="8.88671875" style="8" customWidth="1"/>
    <col min="2" max="2" width="50.88671875" style="8" customWidth="1"/>
    <col min="3" max="3" width="20.6640625" style="8" customWidth="1"/>
    <col min="4" max="4" width="20.6640625" style="17" customWidth="1"/>
    <col min="5" max="6" width="20.6640625" style="8" customWidth="1"/>
    <col min="7" max="7" width="20.44140625" style="8" customWidth="1"/>
    <col min="8" max="9" width="18.88671875" style="8" customWidth="1"/>
    <col min="10" max="10" width="18.88671875" style="8" hidden="1" customWidth="1"/>
    <col min="11" max="13" width="18.88671875" style="8" customWidth="1"/>
    <col min="14" max="14" width="27.88671875" style="8" customWidth="1"/>
    <col min="15" max="15" width="17.33203125" style="8" customWidth="1"/>
    <col min="16" max="16" width="13.44140625" style="17" customWidth="1"/>
    <col min="17" max="17" width="12.109375" style="17" customWidth="1"/>
    <col min="18" max="18" width="16.109375" style="8" customWidth="1"/>
    <col min="19" max="19" width="17.44140625" style="8" customWidth="1"/>
    <col min="20" max="20" width="15.6640625" style="8" customWidth="1"/>
    <col min="21" max="35" width="13.88671875" style="8" customWidth="1"/>
    <col min="36" max="16384" width="8.33203125" style="8"/>
  </cols>
  <sheetData>
    <row r="1" spans="1:35" ht="39.9" customHeight="1">
      <c r="A1" s="567" t="s">
        <v>265</v>
      </c>
      <c r="B1" s="567"/>
      <c r="C1" s="567"/>
      <c r="D1" s="567"/>
      <c r="E1" s="567"/>
      <c r="F1" s="567"/>
      <c r="G1" s="567"/>
      <c r="H1" s="567"/>
      <c r="I1" s="567"/>
      <c r="J1" s="567"/>
      <c r="K1" s="567"/>
      <c r="L1" s="567"/>
      <c r="M1" s="567"/>
      <c r="N1" s="567"/>
    </row>
    <row r="2" spans="1:35" s="84" customFormat="1" ht="35.1" customHeight="1">
      <c r="A2" s="568" t="s">
        <v>736</v>
      </c>
      <c r="B2" s="568"/>
      <c r="C2" s="568"/>
      <c r="D2" s="568"/>
      <c r="E2" s="568"/>
      <c r="F2" s="568"/>
      <c r="G2" s="568"/>
      <c r="H2" s="568"/>
      <c r="I2" s="568"/>
      <c r="J2" s="568"/>
      <c r="K2" s="568"/>
      <c r="L2" s="568"/>
      <c r="M2" s="568"/>
      <c r="N2" s="568"/>
      <c r="P2" s="85"/>
      <c r="Q2" s="85"/>
    </row>
    <row r="3" spans="1:35" s="84" customFormat="1" ht="35.1" customHeight="1">
      <c r="A3" s="568" t="s">
        <v>735</v>
      </c>
      <c r="B3" s="568"/>
      <c r="C3" s="568"/>
      <c r="D3" s="568"/>
      <c r="E3" s="568"/>
      <c r="F3" s="568"/>
      <c r="G3" s="568"/>
      <c r="H3" s="568"/>
      <c r="I3" s="568"/>
      <c r="J3" s="568"/>
      <c r="K3" s="568"/>
      <c r="L3" s="568"/>
      <c r="M3" s="568"/>
      <c r="N3" s="568"/>
      <c r="P3" s="85"/>
      <c r="Q3" s="85"/>
    </row>
    <row r="4" spans="1:35" ht="39.9" customHeight="1">
      <c r="A4" s="569" t="str">
        <f>'11. Muon ĐPTTH'!A4:M4</f>
        <v>(Ban hành kèm theo Quyết định số: 2631/QĐ-UBND ngày 19/12 /2024 của Ủy ban nhân dân tỉnh)</v>
      </c>
      <c r="B4" s="569"/>
      <c r="C4" s="569"/>
      <c r="D4" s="569"/>
      <c r="E4" s="569"/>
      <c r="F4" s="569"/>
      <c r="G4" s="569"/>
      <c r="H4" s="569"/>
      <c r="I4" s="569"/>
      <c r="J4" s="569"/>
      <c r="K4" s="569"/>
      <c r="L4" s="569"/>
      <c r="M4" s="569"/>
      <c r="N4" s="569"/>
    </row>
    <row r="5" spans="1:35" ht="33.75" customHeight="1">
      <c r="J5" s="9"/>
      <c r="K5" s="9"/>
      <c r="L5" s="9"/>
      <c r="M5" s="9"/>
      <c r="N5" s="9" t="s">
        <v>0</v>
      </c>
    </row>
    <row r="6" spans="1:35" ht="50.1" customHeight="1">
      <c r="A6" s="570" t="s">
        <v>1</v>
      </c>
      <c r="B6" s="603" t="s">
        <v>320</v>
      </c>
      <c r="C6" s="570" t="s">
        <v>3</v>
      </c>
      <c r="D6" s="570" t="s">
        <v>321</v>
      </c>
      <c r="E6" s="563" t="s">
        <v>4</v>
      </c>
      <c r="F6" s="563" t="s">
        <v>5</v>
      </c>
      <c r="G6" s="563" t="s">
        <v>118</v>
      </c>
      <c r="H6" s="563"/>
      <c r="I6" s="563"/>
      <c r="J6" s="607" t="s">
        <v>663</v>
      </c>
      <c r="K6" s="552" t="s">
        <v>940</v>
      </c>
      <c r="L6" s="604" t="s">
        <v>849</v>
      </c>
      <c r="M6" s="547" t="s">
        <v>678</v>
      </c>
      <c r="N6" s="570" t="s">
        <v>6</v>
      </c>
      <c r="O6" s="10"/>
    </row>
    <row r="7" spans="1:35" ht="50.1" customHeight="1">
      <c r="A7" s="571"/>
      <c r="B7" s="603"/>
      <c r="C7" s="571"/>
      <c r="D7" s="571"/>
      <c r="E7" s="563"/>
      <c r="F7" s="563"/>
      <c r="G7" s="563" t="s">
        <v>7</v>
      </c>
      <c r="H7" s="563" t="s">
        <v>8</v>
      </c>
      <c r="I7" s="563"/>
      <c r="J7" s="608"/>
      <c r="K7" s="553"/>
      <c r="L7" s="605"/>
      <c r="M7" s="551"/>
      <c r="N7" s="571"/>
      <c r="O7" s="10"/>
      <c r="P7" s="92" t="s">
        <v>269</v>
      </c>
      <c r="Q7" s="92" t="s">
        <v>270</v>
      </c>
      <c r="R7" s="91" t="s">
        <v>271</v>
      </c>
      <c r="S7" s="91"/>
      <c r="T7" s="91" t="s">
        <v>272</v>
      </c>
      <c r="U7" s="92" t="s">
        <v>273</v>
      </c>
      <c r="V7" s="92" t="s">
        <v>291</v>
      </c>
      <c r="W7" s="92" t="s">
        <v>378</v>
      </c>
      <c r="X7" s="92" t="s">
        <v>276</v>
      </c>
      <c r="Y7" s="92" t="s">
        <v>277</v>
      </c>
      <c r="Z7" s="92" t="s">
        <v>278</v>
      </c>
      <c r="AA7" s="92" t="s">
        <v>279</v>
      </c>
      <c r="AB7" s="92" t="s">
        <v>280</v>
      </c>
      <c r="AC7" s="92" t="s">
        <v>281</v>
      </c>
      <c r="AD7" s="92" t="s">
        <v>282</v>
      </c>
      <c r="AE7" s="92" t="s">
        <v>283</v>
      </c>
      <c r="AF7" s="92" t="s">
        <v>284</v>
      </c>
      <c r="AG7" s="92" t="s">
        <v>285</v>
      </c>
      <c r="AH7" s="92" t="s">
        <v>286</v>
      </c>
      <c r="AI7" s="91"/>
    </row>
    <row r="8" spans="1:35" ht="78" customHeight="1">
      <c r="A8" s="571"/>
      <c r="B8" s="603"/>
      <c r="C8" s="571"/>
      <c r="D8" s="572"/>
      <c r="E8" s="563"/>
      <c r="F8" s="563"/>
      <c r="G8" s="563"/>
      <c r="H8" s="75" t="s">
        <v>58</v>
      </c>
      <c r="I8" s="75" t="s">
        <v>664</v>
      </c>
      <c r="J8" s="609"/>
      <c r="K8" s="554"/>
      <c r="L8" s="606"/>
      <c r="M8" s="548"/>
      <c r="N8" s="571"/>
      <c r="O8" s="4"/>
      <c r="P8" s="92"/>
      <c r="Q8" s="92"/>
      <c r="R8" s="91"/>
      <c r="S8" s="94" t="s">
        <v>287</v>
      </c>
      <c r="T8" s="91">
        <f>COUNTIF(P9:P921,"CT")</f>
        <v>1</v>
      </c>
      <c r="U8" s="58">
        <f>SUMIF(P9:P921,"CT",R9:R921)</f>
        <v>10687</v>
      </c>
      <c r="V8" s="58">
        <f>SUMIFS($R$9:$R$1023,$P$9:$P$1023,"CT",$Q$9:$Q$1023,V7)</f>
        <v>10687</v>
      </c>
      <c r="W8" s="58">
        <f t="shared" ref="W8:AH8" si="0">SUMIFS($R$9:$R$1023,$P$9:$P$1023,"CT",$Q$9:$Q$1023,W7)</f>
        <v>0</v>
      </c>
      <c r="X8" s="58">
        <f t="shared" si="0"/>
        <v>0</v>
      </c>
      <c r="Y8" s="58">
        <f t="shared" si="0"/>
        <v>0</v>
      </c>
      <c r="Z8" s="58">
        <f t="shared" si="0"/>
        <v>0</v>
      </c>
      <c r="AA8" s="58">
        <f t="shared" si="0"/>
        <v>0</v>
      </c>
      <c r="AB8" s="58">
        <f t="shared" si="0"/>
        <v>0</v>
      </c>
      <c r="AC8" s="58">
        <f t="shared" si="0"/>
        <v>0</v>
      </c>
      <c r="AD8" s="58">
        <f t="shared" si="0"/>
        <v>0</v>
      </c>
      <c r="AE8" s="58">
        <f t="shared" si="0"/>
        <v>0</v>
      </c>
      <c r="AF8" s="58">
        <f t="shared" si="0"/>
        <v>0</v>
      </c>
      <c r="AG8" s="58">
        <f t="shared" si="0"/>
        <v>0</v>
      </c>
      <c r="AH8" s="58">
        <f t="shared" si="0"/>
        <v>0</v>
      </c>
      <c r="AI8" s="94">
        <f>SUM(V8:AH8)</f>
        <v>10687</v>
      </c>
    </row>
    <row r="9" spans="1:35" s="45" customFormat="1" ht="50.1" customHeight="1">
      <c r="A9" s="40"/>
      <c r="B9" s="95" t="s">
        <v>188</v>
      </c>
      <c r="C9" s="40"/>
      <c r="D9" s="40"/>
      <c r="E9" s="40"/>
      <c r="F9" s="40"/>
      <c r="G9" s="40"/>
      <c r="H9" s="42">
        <f>SUM(H10)</f>
        <v>15000</v>
      </c>
      <c r="I9" s="42">
        <f t="shared" ref="I9:M10" si="1">SUM(I10)</f>
        <v>15000</v>
      </c>
      <c r="J9" s="42">
        <f t="shared" si="1"/>
        <v>10687</v>
      </c>
      <c r="K9" s="42">
        <f t="shared" si="1"/>
        <v>15000</v>
      </c>
      <c r="L9" s="42">
        <f t="shared" si="1"/>
        <v>3000</v>
      </c>
      <c r="M9" s="42">
        <f t="shared" si="1"/>
        <v>8900</v>
      </c>
      <c r="N9" s="43"/>
      <c r="O9" s="44"/>
      <c r="P9" s="89"/>
      <c r="Q9" s="89"/>
      <c r="R9" s="90"/>
      <c r="S9" s="90" t="s">
        <v>288</v>
      </c>
      <c r="T9" s="90">
        <f>COUNTIF(P9:P920,"KCM")</f>
        <v>0</v>
      </c>
      <c r="U9" s="41">
        <f>SUMIF(P9:P920,"KCM",R9:R920)</f>
        <v>0</v>
      </c>
      <c r="V9" s="41">
        <f>SUMIFS($R$9:$R$1023,$P$9:$P$1023,"KCM",$Q$9:$Q$1023,V7)</f>
        <v>0</v>
      </c>
      <c r="W9" s="41">
        <f t="shared" ref="W9:AH9" si="2">SUMIFS($R$9:$R$1023,$P$9:$P$1023,"KCM",$Q$9:$Q$1023,W7)</f>
        <v>0</v>
      </c>
      <c r="X9" s="41">
        <f t="shared" si="2"/>
        <v>0</v>
      </c>
      <c r="Y9" s="41">
        <f t="shared" si="2"/>
        <v>0</v>
      </c>
      <c r="Z9" s="41">
        <f t="shared" si="2"/>
        <v>0</v>
      </c>
      <c r="AA9" s="41">
        <f t="shared" si="2"/>
        <v>0</v>
      </c>
      <c r="AB9" s="41">
        <f t="shared" si="2"/>
        <v>0</v>
      </c>
      <c r="AC9" s="41">
        <f t="shared" si="2"/>
        <v>0</v>
      </c>
      <c r="AD9" s="41">
        <f t="shared" si="2"/>
        <v>0</v>
      </c>
      <c r="AE9" s="41">
        <f t="shared" si="2"/>
        <v>0</v>
      </c>
      <c r="AF9" s="41">
        <f t="shared" si="2"/>
        <v>0</v>
      </c>
      <c r="AG9" s="41">
        <f t="shared" si="2"/>
        <v>0</v>
      </c>
      <c r="AH9" s="41">
        <f t="shared" si="2"/>
        <v>0</v>
      </c>
      <c r="AI9" s="96">
        <f>SUM(V9:AH9)</f>
        <v>0</v>
      </c>
    </row>
    <row r="10" spans="1:35" s="13" customFormat="1" ht="44.25" customHeight="1">
      <c r="A10" s="75"/>
      <c r="B10" s="19" t="s">
        <v>62</v>
      </c>
      <c r="C10" s="75"/>
      <c r="D10" s="75"/>
      <c r="E10" s="75"/>
      <c r="F10" s="75"/>
      <c r="G10" s="75"/>
      <c r="H10" s="5">
        <f>SUM(H11)</f>
        <v>15000</v>
      </c>
      <c r="I10" s="5">
        <f t="shared" si="1"/>
        <v>15000</v>
      </c>
      <c r="J10" s="5">
        <f t="shared" si="1"/>
        <v>10687</v>
      </c>
      <c r="K10" s="5">
        <f t="shared" si="1"/>
        <v>15000</v>
      </c>
      <c r="L10" s="5">
        <f t="shared" si="1"/>
        <v>3000</v>
      </c>
      <c r="M10" s="5">
        <f t="shared" si="1"/>
        <v>8900</v>
      </c>
      <c r="N10" s="1"/>
      <c r="P10" s="65"/>
      <c r="Q10" s="65"/>
      <c r="S10" s="97" t="s">
        <v>287</v>
      </c>
      <c r="T10" s="98">
        <f>SUM(V10:AH10)</f>
        <v>1</v>
      </c>
      <c r="U10" s="98"/>
      <c r="V10" s="98">
        <f>COUNTIFS($P$9:$P$921,"CT",$Q$9:$Q$921,V7)</f>
        <v>1</v>
      </c>
      <c r="W10" s="98">
        <f t="shared" ref="W10:AH10" si="3">COUNTIFS($P$9:$P$921,"CT",$Q$9:$Q$921,W7)</f>
        <v>0</v>
      </c>
      <c r="X10" s="98">
        <f t="shared" si="3"/>
        <v>0</v>
      </c>
      <c r="Y10" s="98">
        <f t="shared" si="3"/>
        <v>0</v>
      </c>
      <c r="Z10" s="98">
        <f t="shared" si="3"/>
        <v>0</v>
      </c>
      <c r="AA10" s="98">
        <f t="shared" si="3"/>
        <v>0</v>
      </c>
      <c r="AB10" s="98">
        <f t="shared" si="3"/>
        <v>0</v>
      </c>
      <c r="AC10" s="98">
        <f t="shared" si="3"/>
        <v>0</v>
      </c>
      <c r="AD10" s="98">
        <f t="shared" si="3"/>
        <v>0</v>
      </c>
      <c r="AE10" s="98">
        <f t="shared" si="3"/>
        <v>0</v>
      </c>
      <c r="AF10" s="98">
        <f t="shared" si="3"/>
        <v>0</v>
      </c>
      <c r="AG10" s="98">
        <f t="shared" si="3"/>
        <v>0</v>
      </c>
      <c r="AH10" s="98">
        <f t="shared" si="3"/>
        <v>0</v>
      </c>
      <c r="AI10" s="99"/>
    </row>
    <row r="11" spans="1:35" s="100" customFormat="1" ht="44.25" customHeight="1">
      <c r="A11" s="11"/>
      <c r="B11" s="12" t="s">
        <v>57</v>
      </c>
      <c r="C11" s="12"/>
      <c r="D11" s="11"/>
      <c r="E11" s="12"/>
      <c r="F11" s="12"/>
      <c r="G11" s="12"/>
      <c r="H11" s="21">
        <f t="shared" ref="H11:M11" si="4">SUM(H12:H12)</f>
        <v>15000</v>
      </c>
      <c r="I11" s="21">
        <f t="shared" si="4"/>
        <v>15000</v>
      </c>
      <c r="J11" s="21">
        <f t="shared" si="4"/>
        <v>10687</v>
      </c>
      <c r="K11" s="21">
        <f t="shared" si="4"/>
        <v>15000</v>
      </c>
      <c r="L11" s="21">
        <f t="shared" si="4"/>
        <v>3000</v>
      </c>
      <c r="M11" s="21">
        <f t="shared" si="4"/>
        <v>8900</v>
      </c>
      <c r="N11" s="14"/>
      <c r="P11" s="101"/>
      <c r="Q11" s="101"/>
      <c r="S11" s="102" t="s">
        <v>288</v>
      </c>
      <c r="T11" s="98">
        <f>SUM(V11:AH11)</f>
        <v>0</v>
      </c>
      <c r="U11" s="98"/>
      <c r="V11" s="98">
        <f>COUNTIFS($P$9:$P$921,"KCM",$Q$9:$Q$921,V7)</f>
        <v>0</v>
      </c>
      <c r="W11" s="98">
        <f t="shared" ref="W11:AH11" si="5">COUNTIFS($P$9:$P$921,"KCM",$Q$9:$Q$921,W7)</f>
        <v>0</v>
      </c>
      <c r="X11" s="98">
        <f t="shared" si="5"/>
        <v>0</v>
      </c>
      <c r="Y11" s="98">
        <f t="shared" si="5"/>
        <v>0</v>
      </c>
      <c r="Z11" s="98">
        <f t="shared" si="5"/>
        <v>0</v>
      </c>
      <c r="AA11" s="98">
        <f t="shared" si="5"/>
        <v>0</v>
      </c>
      <c r="AB11" s="98">
        <f t="shared" si="5"/>
        <v>0</v>
      </c>
      <c r="AC11" s="98">
        <f t="shared" si="5"/>
        <v>0</v>
      </c>
      <c r="AD11" s="98">
        <f t="shared" si="5"/>
        <v>0</v>
      </c>
      <c r="AE11" s="98">
        <f t="shared" si="5"/>
        <v>0</v>
      </c>
      <c r="AF11" s="98">
        <f t="shared" si="5"/>
        <v>0</v>
      </c>
      <c r="AG11" s="98">
        <f t="shared" si="5"/>
        <v>0</v>
      </c>
      <c r="AH11" s="98">
        <f t="shared" si="5"/>
        <v>0</v>
      </c>
      <c r="AI11" s="98"/>
    </row>
    <row r="12" spans="1:35" ht="90" customHeight="1">
      <c r="A12" s="7">
        <v>1</v>
      </c>
      <c r="B12" s="103" t="s">
        <v>665</v>
      </c>
      <c r="C12" s="104" t="s">
        <v>41</v>
      </c>
      <c r="D12" s="59" t="s">
        <v>19</v>
      </c>
      <c r="E12" s="67" t="s">
        <v>666</v>
      </c>
      <c r="F12" s="67" t="s">
        <v>563</v>
      </c>
      <c r="G12" s="70" t="s">
        <v>667</v>
      </c>
      <c r="H12" s="82">
        <v>15000</v>
      </c>
      <c r="I12" s="82">
        <v>15000</v>
      </c>
      <c r="J12" s="82">
        <v>10687</v>
      </c>
      <c r="K12" s="82">
        <v>15000</v>
      </c>
      <c r="L12" s="82">
        <v>3000</v>
      </c>
      <c r="M12" s="82">
        <v>8900</v>
      </c>
      <c r="N12" s="142"/>
      <c r="O12" s="8">
        <v>11998</v>
      </c>
      <c r="P12" s="106" t="s">
        <v>289</v>
      </c>
      <c r="Q12" s="106" t="s">
        <v>291</v>
      </c>
      <c r="R12" s="107">
        <f>J12</f>
        <v>10687</v>
      </c>
    </row>
  </sheetData>
  <mergeCells count="18">
    <mergeCell ref="J6:J8"/>
    <mergeCell ref="A3:N3"/>
    <mergeCell ref="M6:M8"/>
    <mergeCell ref="N6:N8"/>
    <mergeCell ref="G7:G8"/>
    <mergeCell ref="H7:I7"/>
    <mergeCell ref="A1:N1"/>
    <mergeCell ref="A2:N2"/>
    <mergeCell ref="A4:N4"/>
    <mergeCell ref="A6:A8"/>
    <mergeCell ref="B6:B8"/>
    <mergeCell ref="C6:C8"/>
    <mergeCell ref="D6:D8"/>
    <mergeCell ref="E6:E8"/>
    <mergeCell ref="F6:F8"/>
    <mergeCell ref="G6:I6"/>
    <mergeCell ref="L6:L8"/>
    <mergeCell ref="K6:K8"/>
  </mergeCells>
  <printOptions horizontalCentered="1"/>
  <pageMargins left="0.39370078740157499" right="0.39370078740157499" top="0.39370078740157499" bottom="0.39370078740157499" header="0.196850393700787" footer="0.196850393700787"/>
  <pageSetup paperSize="9" scale="49" fitToHeight="0" orientation="landscape" r:id="rId1"/>
  <headerFooter alignWithMargins="0">
    <oddFooter>&amp;C&amp;"Times New Roman,thường"&amp;11&amp;P/&amp;N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I13"/>
  <sheetViews>
    <sheetView view="pageBreakPreview" zoomScale="50" zoomScaleNormal="60" zoomScaleSheetLayoutView="50" workbookViewId="0">
      <selection activeCell="G14" sqref="G14"/>
    </sheetView>
  </sheetViews>
  <sheetFormatPr defaultColWidth="8.33203125" defaultRowHeight="16.8"/>
  <cols>
    <col min="1" max="1" width="8.88671875" style="8" customWidth="1"/>
    <col min="2" max="2" width="50.88671875" style="8" customWidth="1"/>
    <col min="3" max="3" width="20.6640625" style="8" customWidth="1"/>
    <col min="4" max="4" width="20.6640625" style="17" customWidth="1"/>
    <col min="5" max="6" width="20.6640625" style="8" customWidth="1"/>
    <col min="7" max="7" width="20.44140625" style="8" customWidth="1"/>
    <col min="8" max="9" width="18.88671875" style="8" customWidth="1"/>
    <col min="10" max="10" width="18.88671875" style="8" hidden="1" customWidth="1"/>
    <col min="11" max="11" width="20.6640625" style="8" customWidth="1"/>
    <col min="12" max="13" width="15.6640625" style="8" customWidth="1"/>
    <col min="14" max="14" width="27.88671875" style="8" customWidth="1"/>
    <col min="15" max="15" width="17.33203125" style="8" customWidth="1"/>
    <col min="16" max="16" width="13.44140625" style="17" customWidth="1"/>
    <col min="17" max="17" width="12.109375" style="17" customWidth="1"/>
    <col min="18" max="18" width="16.109375" style="8" customWidth="1"/>
    <col min="19" max="19" width="17.44140625" style="8" customWidth="1"/>
    <col min="20" max="20" width="15.6640625" style="8" customWidth="1"/>
    <col min="21" max="35" width="13.88671875" style="8" customWidth="1"/>
    <col min="36" max="16384" width="8.33203125" style="8"/>
  </cols>
  <sheetData>
    <row r="1" spans="1:35" ht="39.9" customHeight="1">
      <c r="A1" s="567" t="s">
        <v>659</v>
      </c>
      <c r="B1" s="567"/>
      <c r="C1" s="567"/>
      <c r="D1" s="567"/>
      <c r="E1" s="567"/>
      <c r="F1" s="567"/>
      <c r="G1" s="567"/>
      <c r="H1" s="567"/>
      <c r="I1" s="567"/>
      <c r="J1" s="567"/>
      <c r="K1" s="567"/>
      <c r="L1" s="567"/>
      <c r="M1" s="567"/>
      <c r="N1" s="567"/>
    </row>
    <row r="2" spans="1:35" s="84" customFormat="1" ht="35.1" customHeight="1">
      <c r="A2" s="568" t="s">
        <v>726</v>
      </c>
      <c r="B2" s="568"/>
      <c r="C2" s="568"/>
      <c r="D2" s="568"/>
      <c r="E2" s="568"/>
      <c r="F2" s="568"/>
      <c r="G2" s="568"/>
      <c r="H2" s="568"/>
      <c r="I2" s="568"/>
      <c r="J2" s="568"/>
      <c r="K2" s="568"/>
      <c r="L2" s="568"/>
      <c r="M2" s="568"/>
      <c r="N2" s="568"/>
      <c r="P2" s="85"/>
      <c r="Q2" s="85"/>
    </row>
    <row r="3" spans="1:35" s="84" customFormat="1" ht="35.1" customHeight="1">
      <c r="A3" s="568" t="s">
        <v>737</v>
      </c>
      <c r="B3" s="568"/>
      <c r="C3" s="568"/>
      <c r="D3" s="568"/>
      <c r="E3" s="568"/>
      <c r="F3" s="568"/>
      <c r="G3" s="568"/>
      <c r="H3" s="568"/>
      <c r="I3" s="568"/>
      <c r="J3" s="568"/>
      <c r="K3" s="568"/>
      <c r="L3" s="568"/>
      <c r="M3" s="568"/>
      <c r="N3" s="568"/>
      <c r="P3" s="85"/>
      <c r="Q3" s="85"/>
    </row>
    <row r="4" spans="1:35" ht="39.9" customHeight="1">
      <c r="A4" s="569" t="str">
        <f>'12. NHNN'!A4:N4</f>
        <v>(Ban hành kèm theo Quyết định số: 2631/QĐ-UBND ngày 19/12 /2024 của Ủy ban nhân dân tỉnh)</v>
      </c>
      <c r="B4" s="569"/>
      <c r="C4" s="569"/>
      <c r="D4" s="569"/>
      <c r="E4" s="569"/>
      <c r="F4" s="569"/>
      <c r="G4" s="569"/>
      <c r="H4" s="569"/>
      <c r="I4" s="569"/>
      <c r="J4" s="569"/>
      <c r="K4" s="569"/>
      <c r="L4" s="569"/>
      <c r="M4" s="569"/>
      <c r="N4" s="569"/>
    </row>
    <row r="5" spans="1:35" ht="33.75" customHeight="1">
      <c r="J5" s="9"/>
      <c r="K5" s="9"/>
      <c r="L5" s="9"/>
      <c r="M5" s="9"/>
      <c r="N5" s="9" t="s">
        <v>0</v>
      </c>
    </row>
    <row r="6" spans="1:35" s="88" customFormat="1" ht="50.1" customHeight="1">
      <c r="A6" s="610" t="s">
        <v>1</v>
      </c>
      <c r="B6" s="612" t="s">
        <v>320</v>
      </c>
      <c r="C6" s="610" t="s">
        <v>3</v>
      </c>
      <c r="D6" s="610" t="s">
        <v>321</v>
      </c>
      <c r="E6" s="614" t="s">
        <v>4</v>
      </c>
      <c r="F6" s="614" t="s">
        <v>5</v>
      </c>
      <c r="G6" s="614" t="s">
        <v>118</v>
      </c>
      <c r="H6" s="614"/>
      <c r="I6" s="614"/>
      <c r="J6" s="618" t="s">
        <v>663</v>
      </c>
      <c r="K6" s="615" t="s">
        <v>850</v>
      </c>
      <c r="L6" s="615" t="s">
        <v>849</v>
      </c>
      <c r="M6" s="621" t="s">
        <v>678</v>
      </c>
      <c r="N6" s="610" t="s">
        <v>6</v>
      </c>
      <c r="O6" s="86"/>
      <c r="P6" s="87"/>
      <c r="Q6" s="87"/>
    </row>
    <row r="7" spans="1:35" s="88" customFormat="1" ht="50.1" customHeight="1">
      <c r="A7" s="611"/>
      <c r="B7" s="612"/>
      <c r="C7" s="611"/>
      <c r="D7" s="611"/>
      <c r="E7" s="614"/>
      <c r="F7" s="614"/>
      <c r="G7" s="614" t="s">
        <v>7</v>
      </c>
      <c r="H7" s="614" t="s">
        <v>8</v>
      </c>
      <c r="I7" s="614"/>
      <c r="J7" s="619"/>
      <c r="K7" s="616"/>
      <c r="L7" s="616"/>
      <c r="M7" s="622"/>
      <c r="N7" s="611"/>
      <c r="O7" s="86"/>
      <c r="P7" s="89" t="s">
        <v>269</v>
      </c>
      <c r="Q7" s="89" t="s">
        <v>270</v>
      </c>
      <c r="R7" s="90" t="s">
        <v>271</v>
      </c>
      <c r="S7" s="91"/>
      <c r="T7" s="91" t="s">
        <v>272</v>
      </c>
      <c r="U7" s="92" t="s">
        <v>273</v>
      </c>
      <c r="V7" s="92" t="s">
        <v>291</v>
      </c>
      <c r="W7" s="92" t="s">
        <v>378</v>
      </c>
      <c r="X7" s="92" t="s">
        <v>276</v>
      </c>
      <c r="Y7" s="92" t="s">
        <v>277</v>
      </c>
      <c r="Z7" s="92" t="s">
        <v>278</v>
      </c>
      <c r="AA7" s="92" t="s">
        <v>279</v>
      </c>
      <c r="AB7" s="92" t="s">
        <v>280</v>
      </c>
      <c r="AC7" s="92" t="s">
        <v>281</v>
      </c>
      <c r="AD7" s="92" t="s">
        <v>282</v>
      </c>
      <c r="AE7" s="92" t="s">
        <v>283</v>
      </c>
      <c r="AF7" s="92" t="s">
        <v>284</v>
      </c>
      <c r="AG7" s="92" t="s">
        <v>285</v>
      </c>
      <c r="AH7" s="92" t="s">
        <v>286</v>
      </c>
      <c r="AI7" s="91"/>
    </row>
    <row r="8" spans="1:35" s="88" customFormat="1" ht="78" customHeight="1">
      <c r="A8" s="611"/>
      <c r="B8" s="612"/>
      <c r="C8" s="611"/>
      <c r="D8" s="613"/>
      <c r="E8" s="614"/>
      <c r="F8" s="614"/>
      <c r="G8" s="614"/>
      <c r="H8" s="40" t="s">
        <v>58</v>
      </c>
      <c r="I8" s="40" t="s">
        <v>676</v>
      </c>
      <c r="J8" s="620"/>
      <c r="K8" s="617"/>
      <c r="L8" s="617"/>
      <c r="M8" s="623"/>
      <c r="N8" s="611"/>
      <c r="O8" s="93"/>
      <c r="P8" s="89"/>
      <c r="Q8" s="89"/>
      <c r="R8" s="90"/>
      <c r="S8" s="94" t="s">
        <v>287</v>
      </c>
      <c r="T8" s="91">
        <f>COUNTIF(P9:P922,"CT")</f>
        <v>0</v>
      </c>
      <c r="U8" s="58">
        <f>SUMIF(P9:P922,"CT",R9:R922)</f>
        <v>0</v>
      </c>
      <c r="V8" s="58">
        <f t="shared" ref="V8:AH8" si="0">SUMIFS($R$9:$R$1024,$P$9:$P$1024,"CT",$Q$9:$Q$1024,V7)</f>
        <v>0</v>
      </c>
      <c r="W8" s="58">
        <f t="shared" si="0"/>
        <v>0</v>
      </c>
      <c r="X8" s="58">
        <f t="shared" si="0"/>
        <v>0</v>
      </c>
      <c r="Y8" s="58">
        <f t="shared" si="0"/>
        <v>0</v>
      </c>
      <c r="Z8" s="58">
        <f t="shared" si="0"/>
        <v>0</v>
      </c>
      <c r="AA8" s="58">
        <f t="shared" si="0"/>
        <v>0</v>
      </c>
      <c r="AB8" s="58">
        <f t="shared" si="0"/>
        <v>0</v>
      </c>
      <c r="AC8" s="58">
        <f t="shared" si="0"/>
        <v>0</v>
      </c>
      <c r="AD8" s="58">
        <f t="shared" si="0"/>
        <v>0</v>
      </c>
      <c r="AE8" s="58">
        <f t="shared" si="0"/>
        <v>0</v>
      </c>
      <c r="AF8" s="58">
        <f t="shared" si="0"/>
        <v>0</v>
      </c>
      <c r="AG8" s="58">
        <f t="shared" si="0"/>
        <v>0</v>
      </c>
      <c r="AH8" s="58">
        <f t="shared" si="0"/>
        <v>0</v>
      </c>
      <c r="AI8" s="94">
        <f>SUM(V8:AH8)</f>
        <v>0</v>
      </c>
    </row>
    <row r="9" spans="1:35" s="45" customFormat="1" ht="50.1" customHeight="1">
      <c r="A9" s="40"/>
      <c r="B9" s="95" t="s">
        <v>188</v>
      </c>
      <c r="C9" s="40"/>
      <c r="D9" s="40"/>
      <c r="E9" s="40"/>
      <c r="F9" s="40"/>
      <c r="G9" s="40"/>
      <c r="H9" s="42">
        <f>SUM(H10)</f>
        <v>2102</v>
      </c>
      <c r="I9" s="42">
        <f t="shared" ref="I9:M11" si="1">SUM(I10)</f>
        <v>2002</v>
      </c>
      <c r="J9" s="42">
        <f t="shared" si="1"/>
        <v>0</v>
      </c>
      <c r="K9" s="42">
        <f t="shared" si="1"/>
        <v>2002</v>
      </c>
      <c r="L9" s="42">
        <f t="shared" si="1"/>
        <v>0</v>
      </c>
      <c r="M9" s="42">
        <f t="shared" si="1"/>
        <v>2002</v>
      </c>
      <c r="N9" s="43"/>
      <c r="O9" s="44"/>
      <c r="P9" s="89"/>
      <c r="Q9" s="89"/>
      <c r="R9" s="90"/>
      <c r="S9" s="90" t="s">
        <v>288</v>
      </c>
      <c r="T9" s="90">
        <f>COUNTIF(P9:P921,"KCM")</f>
        <v>0</v>
      </c>
      <c r="U9" s="41">
        <f>SUMIF(P9:P921,"KCM",R9:R921)</f>
        <v>0</v>
      </c>
      <c r="V9" s="41">
        <f t="shared" ref="V9:AH9" si="2">SUMIFS($R$9:$R$1024,$P$9:$P$1024,"KCM",$Q$9:$Q$1024,V7)</f>
        <v>0</v>
      </c>
      <c r="W9" s="41">
        <f t="shared" si="2"/>
        <v>0</v>
      </c>
      <c r="X9" s="41">
        <f t="shared" si="2"/>
        <v>0</v>
      </c>
      <c r="Y9" s="41">
        <f t="shared" si="2"/>
        <v>0</v>
      </c>
      <c r="Z9" s="41">
        <f t="shared" si="2"/>
        <v>0</v>
      </c>
      <c r="AA9" s="41">
        <f t="shared" si="2"/>
        <v>0</v>
      </c>
      <c r="AB9" s="41">
        <f t="shared" si="2"/>
        <v>0</v>
      </c>
      <c r="AC9" s="41">
        <f t="shared" si="2"/>
        <v>0</v>
      </c>
      <c r="AD9" s="41">
        <f t="shared" si="2"/>
        <v>0</v>
      </c>
      <c r="AE9" s="41">
        <f t="shared" si="2"/>
        <v>0</v>
      </c>
      <c r="AF9" s="41">
        <f t="shared" si="2"/>
        <v>0</v>
      </c>
      <c r="AG9" s="41">
        <f t="shared" si="2"/>
        <v>0</v>
      </c>
      <c r="AH9" s="41">
        <f t="shared" si="2"/>
        <v>0</v>
      </c>
      <c r="AI9" s="96">
        <f>SUM(V9:AH9)</f>
        <v>0</v>
      </c>
    </row>
    <row r="10" spans="1:35" s="13" customFormat="1" ht="50.1" customHeight="1">
      <c r="A10" s="75"/>
      <c r="B10" s="19" t="s">
        <v>677</v>
      </c>
      <c r="C10" s="75"/>
      <c r="D10" s="75"/>
      <c r="E10" s="75"/>
      <c r="F10" s="75"/>
      <c r="G10" s="75"/>
      <c r="H10" s="5">
        <f>SUM(H11)</f>
        <v>2102</v>
      </c>
      <c r="I10" s="5">
        <f t="shared" si="1"/>
        <v>2002</v>
      </c>
      <c r="J10" s="5">
        <f t="shared" si="1"/>
        <v>0</v>
      </c>
      <c r="K10" s="5">
        <f t="shared" si="1"/>
        <v>2002</v>
      </c>
      <c r="L10" s="5">
        <f t="shared" si="1"/>
        <v>0</v>
      </c>
      <c r="M10" s="5">
        <f t="shared" si="1"/>
        <v>2002</v>
      </c>
      <c r="N10" s="20"/>
      <c r="P10" s="65"/>
      <c r="Q10" s="65"/>
      <c r="S10" s="97" t="s">
        <v>287</v>
      </c>
      <c r="T10" s="98">
        <f>SUM(V10:AH10)</f>
        <v>0</v>
      </c>
      <c r="U10" s="98"/>
      <c r="V10" s="98">
        <f t="shared" ref="V10:AH10" si="3">COUNTIFS($P$9:$P$922,"CT",$Q$9:$Q$922,V7)</f>
        <v>0</v>
      </c>
      <c r="W10" s="98">
        <f t="shared" si="3"/>
        <v>0</v>
      </c>
      <c r="X10" s="98">
        <f t="shared" si="3"/>
        <v>0</v>
      </c>
      <c r="Y10" s="98">
        <f t="shared" si="3"/>
        <v>0</v>
      </c>
      <c r="Z10" s="98">
        <f t="shared" si="3"/>
        <v>0</v>
      </c>
      <c r="AA10" s="98">
        <f t="shared" si="3"/>
        <v>0</v>
      </c>
      <c r="AB10" s="98">
        <f t="shared" si="3"/>
        <v>0</v>
      </c>
      <c r="AC10" s="98">
        <f t="shared" si="3"/>
        <v>0</v>
      </c>
      <c r="AD10" s="98">
        <f t="shared" si="3"/>
        <v>0</v>
      </c>
      <c r="AE10" s="98">
        <f t="shared" si="3"/>
        <v>0</v>
      </c>
      <c r="AF10" s="98">
        <f t="shared" si="3"/>
        <v>0</v>
      </c>
      <c r="AG10" s="98">
        <f t="shared" si="3"/>
        <v>0</v>
      </c>
      <c r="AH10" s="98">
        <f t="shared" si="3"/>
        <v>0</v>
      </c>
      <c r="AI10" s="99"/>
    </row>
    <row r="11" spans="1:35" s="13" customFormat="1" ht="42.75" customHeight="1">
      <c r="A11" s="75"/>
      <c r="B11" s="19" t="s">
        <v>839</v>
      </c>
      <c r="C11" s="75"/>
      <c r="D11" s="75"/>
      <c r="E11" s="75"/>
      <c r="F11" s="75"/>
      <c r="G11" s="75"/>
      <c r="H11" s="5">
        <f>SUM(H12)</f>
        <v>2102</v>
      </c>
      <c r="I11" s="5">
        <f t="shared" si="1"/>
        <v>2002</v>
      </c>
      <c r="J11" s="5">
        <f t="shared" si="1"/>
        <v>0</v>
      </c>
      <c r="K11" s="5">
        <f t="shared" si="1"/>
        <v>2002</v>
      </c>
      <c r="L11" s="5">
        <f t="shared" si="1"/>
        <v>0</v>
      </c>
      <c r="M11" s="5">
        <f t="shared" si="1"/>
        <v>2002</v>
      </c>
      <c r="N11" s="1"/>
      <c r="P11" s="65"/>
      <c r="Q11" s="65"/>
      <c r="S11" s="97"/>
      <c r="T11" s="98"/>
      <c r="U11" s="98"/>
      <c r="V11" s="98"/>
      <c r="W11" s="98"/>
      <c r="X11" s="98"/>
      <c r="Y11" s="98"/>
      <c r="Z11" s="98"/>
      <c r="AA11" s="98"/>
      <c r="AB11" s="98"/>
      <c r="AC11" s="98"/>
      <c r="AD11" s="98"/>
      <c r="AE11" s="98"/>
      <c r="AF11" s="98"/>
      <c r="AG11" s="98"/>
      <c r="AH11" s="98"/>
      <c r="AI11" s="99"/>
    </row>
    <row r="12" spans="1:35" s="100" customFormat="1" ht="44.25" customHeight="1">
      <c r="A12" s="11"/>
      <c r="B12" s="12" t="s">
        <v>679</v>
      </c>
      <c r="C12" s="12"/>
      <c r="D12" s="11"/>
      <c r="E12" s="12"/>
      <c r="F12" s="12"/>
      <c r="G12" s="12"/>
      <c r="H12" s="21">
        <f>SUM(H13)</f>
        <v>2102</v>
      </c>
      <c r="I12" s="21">
        <f t="shared" ref="I12:M12" si="4">SUM(I13)</f>
        <v>2002</v>
      </c>
      <c r="J12" s="21">
        <f t="shared" si="4"/>
        <v>0</v>
      </c>
      <c r="K12" s="21">
        <f t="shared" si="4"/>
        <v>2002</v>
      </c>
      <c r="L12" s="21">
        <f t="shared" si="4"/>
        <v>0</v>
      </c>
      <c r="M12" s="21">
        <f t="shared" si="4"/>
        <v>2002</v>
      </c>
      <c r="N12" s="14"/>
      <c r="P12" s="101"/>
      <c r="Q12" s="101"/>
      <c r="S12" s="102" t="s">
        <v>288</v>
      </c>
      <c r="T12" s="98">
        <f>SUM(V12:AH12)</f>
        <v>0</v>
      </c>
      <c r="U12" s="98"/>
      <c r="V12" s="98">
        <f t="shared" ref="V12:AH12" si="5">COUNTIFS($P$9:$P$922,"KCM",$Q$9:$Q$922,V7)</f>
        <v>0</v>
      </c>
      <c r="W12" s="98">
        <f t="shared" si="5"/>
        <v>0</v>
      </c>
      <c r="X12" s="98">
        <f t="shared" si="5"/>
        <v>0</v>
      </c>
      <c r="Y12" s="98">
        <f t="shared" si="5"/>
        <v>0</v>
      </c>
      <c r="Z12" s="98">
        <f t="shared" si="5"/>
        <v>0</v>
      </c>
      <c r="AA12" s="98">
        <f t="shared" si="5"/>
        <v>0</v>
      </c>
      <c r="AB12" s="98">
        <f t="shared" si="5"/>
        <v>0</v>
      </c>
      <c r="AC12" s="98">
        <f t="shared" si="5"/>
        <v>0</v>
      </c>
      <c r="AD12" s="98">
        <f t="shared" si="5"/>
        <v>0</v>
      </c>
      <c r="AE12" s="98">
        <f t="shared" si="5"/>
        <v>0</v>
      </c>
      <c r="AF12" s="98">
        <f t="shared" si="5"/>
        <v>0</v>
      </c>
      <c r="AG12" s="98">
        <f t="shared" si="5"/>
        <v>0</v>
      </c>
      <c r="AH12" s="98">
        <f t="shared" si="5"/>
        <v>0</v>
      </c>
      <c r="AI12" s="98"/>
    </row>
    <row r="13" spans="1:35" ht="90" customHeight="1">
      <c r="A13" s="7">
        <v>1</v>
      </c>
      <c r="B13" s="178" t="s">
        <v>680</v>
      </c>
      <c r="C13" s="104" t="s">
        <v>96</v>
      </c>
      <c r="D13" s="59" t="s">
        <v>19</v>
      </c>
      <c r="E13" s="67" t="s">
        <v>926</v>
      </c>
      <c r="F13" s="67" t="s">
        <v>563</v>
      </c>
      <c r="G13" s="70" t="s">
        <v>1009</v>
      </c>
      <c r="H13" s="82">
        <v>2102</v>
      </c>
      <c r="I13" s="82">
        <v>2002</v>
      </c>
      <c r="J13" s="82"/>
      <c r="K13" s="82">
        <v>2002</v>
      </c>
      <c r="L13" s="82"/>
      <c r="M13" s="82">
        <v>2002</v>
      </c>
      <c r="N13" s="105"/>
      <c r="P13" s="106"/>
      <c r="Q13" s="106"/>
      <c r="R13" s="107"/>
    </row>
  </sheetData>
  <mergeCells count="18">
    <mergeCell ref="M6:M8"/>
    <mergeCell ref="N6:N8"/>
    <mergeCell ref="A1:N1"/>
    <mergeCell ref="A2:N2"/>
    <mergeCell ref="A4:N4"/>
    <mergeCell ref="A6:A8"/>
    <mergeCell ref="B6:B8"/>
    <mergeCell ref="C6:C8"/>
    <mergeCell ref="D6:D8"/>
    <mergeCell ref="E6:E8"/>
    <mergeCell ref="F6:F8"/>
    <mergeCell ref="G6:I6"/>
    <mergeCell ref="G7:G8"/>
    <mergeCell ref="H7:I7"/>
    <mergeCell ref="L6:L8"/>
    <mergeCell ref="K6:K8"/>
    <mergeCell ref="A3:N3"/>
    <mergeCell ref="J6:J8"/>
  </mergeCells>
  <printOptions horizontalCentered="1"/>
  <pageMargins left="0.39370078740157499" right="0.39370078740157499" top="0.39370078740157499" bottom="0.39370078740157499" header="0.196850393700787" footer="0.196850393700787"/>
  <pageSetup paperSize="9" scale="50" fitToHeight="0" orientation="landscape" r:id="rId1"/>
  <headerFooter alignWithMargins="0">
    <oddFooter>&amp;C&amp;"Times New Roman,thường"&amp;11&amp;P/&amp;N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N13"/>
  <sheetViews>
    <sheetView view="pageBreakPreview" zoomScale="50" zoomScaleNormal="70" zoomScaleSheetLayoutView="50" workbookViewId="0">
      <selection activeCell="F9" sqref="F9"/>
    </sheetView>
  </sheetViews>
  <sheetFormatPr defaultColWidth="9.109375" defaultRowHeight="16.8"/>
  <cols>
    <col min="1" max="1" width="8.6640625" style="8" customWidth="1"/>
    <col min="2" max="2" width="50.6640625" style="8" customWidth="1"/>
    <col min="3" max="6" width="20.6640625" style="8" customWidth="1"/>
    <col min="7" max="7" width="22.6640625" style="8" customWidth="1"/>
    <col min="8" max="9" width="20.6640625" style="8" customWidth="1"/>
    <col min="10" max="15" width="20.6640625" style="8" hidden="1" customWidth="1"/>
    <col min="16" max="16" width="20.6640625" style="8" customWidth="1"/>
    <col min="17" max="18" width="15.6640625" style="8" customWidth="1"/>
    <col min="19" max="19" width="40.6640625" style="8" customWidth="1"/>
    <col min="20" max="20" width="19.109375" style="8" customWidth="1"/>
    <col min="21" max="21" width="14.88671875" style="8" customWidth="1"/>
    <col min="22" max="22" width="13.44140625" style="8" customWidth="1"/>
    <col min="23" max="23" width="17.88671875" style="8" customWidth="1"/>
    <col min="24" max="24" width="19.33203125" style="8" customWidth="1"/>
    <col min="25" max="25" width="17.33203125" style="8" customWidth="1"/>
    <col min="26" max="26" width="12.44140625" style="8" customWidth="1"/>
    <col min="27" max="27" width="18.88671875" style="8" customWidth="1"/>
    <col min="28" max="39" width="9.109375" style="8"/>
    <col min="40" max="40" width="11.88671875" style="8" customWidth="1"/>
    <col min="41" max="16384" width="9.109375" style="8"/>
  </cols>
  <sheetData>
    <row r="1" spans="1:40" ht="39.9" customHeight="1">
      <c r="A1" s="567" t="s">
        <v>683</v>
      </c>
      <c r="B1" s="567"/>
      <c r="C1" s="567"/>
      <c r="D1" s="567"/>
      <c r="E1" s="567"/>
      <c r="F1" s="567"/>
      <c r="G1" s="567"/>
      <c r="H1" s="567"/>
      <c r="I1" s="567"/>
      <c r="J1" s="567"/>
      <c r="K1" s="567"/>
      <c r="L1" s="567"/>
      <c r="M1" s="567"/>
      <c r="N1" s="567"/>
      <c r="O1" s="567"/>
      <c r="P1" s="567"/>
      <c r="Q1" s="567"/>
      <c r="R1" s="567"/>
      <c r="S1" s="567"/>
    </row>
    <row r="2" spans="1:40" ht="35.1" customHeight="1">
      <c r="A2" s="568" t="s">
        <v>723</v>
      </c>
      <c r="B2" s="568"/>
      <c r="C2" s="568"/>
      <c r="D2" s="568"/>
      <c r="E2" s="568"/>
      <c r="F2" s="568"/>
      <c r="G2" s="568"/>
      <c r="H2" s="568"/>
      <c r="I2" s="568"/>
      <c r="J2" s="568"/>
      <c r="K2" s="568"/>
      <c r="L2" s="568"/>
      <c r="M2" s="568"/>
      <c r="N2" s="568"/>
      <c r="O2" s="568"/>
      <c r="P2" s="568"/>
      <c r="Q2" s="568"/>
      <c r="R2" s="568"/>
      <c r="S2" s="568"/>
    </row>
    <row r="3" spans="1:40" ht="35.1" customHeight="1">
      <c r="A3" s="568" t="s">
        <v>738</v>
      </c>
      <c r="B3" s="568"/>
      <c r="C3" s="568"/>
      <c r="D3" s="568"/>
      <c r="E3" s="568"/>
      <c r="F3" s="568"/>
      <c r="G3" s="568"/>
      <c r="H3" s="568"/>
      <c r="I3" s="568"/>
      <c r="J3" s="568"/>
      <c r="K3" s="568"/>
      <c r="L3" s="568"/>
      <c r="M3" s="568"/>
      <c r="N3" s="568"/>
      <c r="O3" s="568"/>
      <c r="P3" s="568"/>
      <c r="Q3" s="568"/>
      <c r="R3" s="568"/>
      <c r="S3" s="568"/>
    </row>
    <row r="4" spans="1:40" ht="39.9" customHeight="1">
      <c r="A4" s="569" t="str">
        <f>'14. DP TH'!A4:M4</f>
        <v>(Ban hành kèm theo Quyết định số: 2631/QĐ-UBND ngày 19/12 /2024 của Ủy ban nhân dân tỉnh)</v>
      </c>
      <c r="B4" s="569"/>
      <c r="C4" s="569"/>
      <c r="D4" s="569"/>
      <c r="E4" s="569"/>
      <c r="F4" s="569"/>
      <c r="G4" s="569"/>
      <c r="H4" s="569"/>
      <c r="I4" s="569"/>
      <c r="J4" s="569"/>
      <c r="K4" s="569"/>
      <c r="L4" s="569"/>
      <c r="M4" s="569"/>
      <c r="N4" s="569"/>
      <c r="O4" s="569"/>
      <c r="P4" s="569"/>
      <c r="Q4" s="569"/>
      <c r="R4" s="569"/>
      <c r="S4" s="569"/>
    </row>
    <row r="5" spans="1:40" ht="33.75" customHeight="1">
      <c r="J5" s="9"/>
      <c r="K5" s="9"/>
      <c r="L5" s="9"/>
      <c r="M5" s="9"/>
      <c r="N5" s="9"/>
      <c r="O5" s="9"/>
      <c r="P5" s="9"/>
      <c r="Q5" s="9"/>
      <c r="R5" s="9"/>
      <c r="S5" s="9" t="s">
        <v>0</v>
      </c>
    </row>
    <row r="6" spans="1:40" ht="60" customHeight="1">
      <c r="A6" s="570" t="s">
        <v>1</v>
      </c>
      <c r="B6" s="612" t="s">
        <v>320</v>
      </c>
      <c r="C6" s="570" t="s">
        <v>3</v>
      </c>
      <c r="D6" s="610" t="s">
        <v>321</v>
      </c>
      <c r="E6" s="563" t="s">
        <v>4</v>
      </c>
      <c r="F6" s="563" t="s">
        <v>5</v>
      </c>
      <c r="G6" s="563" t="s">
        <v>118</v>
      </c>
      <c r="H6" s="563"/>
      <c r="I6" s="563"/>
      <c r="J6" s="543" t="s">
        <v>663</v>
      </c>
      <c r="K6" s="543" t="s">
        <v>684</v>
      </c>
      <c r="L6" s="543"/>
      <c r="M6" s="543"/>
      <c r="N6" s="543"/>
      <c r="O6" s="547" t="s">
        <v>688</v>
      </c>
      <c r="P6" s="615" t="s">
        <v>850</v>
      </c>
      <c r="Q6" s="621" t="s">
        <v>849</v>
      </c>
      <c r="R6" s="621" t="s">
        <v>678</v>
      </c>
      <c r="S6" s="570" t="s">
        <v>6</v>
      </c>
      <c r="T6" s="10"/>
      <c r="U6" s="17"/>
      <c r="V6" s="17"/>
    </row>
    <row r="7" spans="1:40" ht="60" customHeight="1">
      <c r="A7" s="571"/>
      <c r="B7" s="612"/>
      <c r="C7" s="571"/>
      <c r="D7" s="611"/>
      <c r="E7" s="563"/>
      <c r="F7" s="563"/>
      <c r="G7" s="563" t="s">
        <v>7</v>
      </c>
      <c r="H7" s="563" t="s">
        <v>8</v>
      </c>
      <c r="I7" s="563"/>
      <c r="J7" s="543"/>
      <c r="K7" s="543" t="s">
        <v>9</v>
      </c>
      <c r="L7" s="543" t="s">
        <v>10</v>
      </c>
      <c r="M7" s="543"/>
      <c r="N7" s="543"/>
      <c r="O7" s="551"/>
      <c r="P7" s="616"/>
      <c r="Q7" s="622"/>
      <c r="R7" s="622"/>
      <c r="S7" s="571"/>
      <c r="T7" s="10"/>
      <c r="U7" s="31" t="s">
        <v>269</v>
      </c>
      <c r="V7" s="31" t="s">
        <v>270</v>
      </c>
      <c r="W7" s="32" t="s">
        <v>271</v>
      </c>
      <c r="X7" s="32"/>
      <c r="Y7" s="32" t="s">
        <v>272</v>
      </c>
      <c r="Z7" s="31" t="s">
        <v>273</v>
      </c>
      <c r="AA7" s="31" t="s">
        <v>291</v>
      </c>
      <c r="AB7" s="31" t="s">
        <v>378</v>
      </c>
      <c r="AC7" s="31" t="s">
        <v>276</v>
      </c>
      <c r="AD7" s="31" t="s">
        <v>277</v>
      </c>
      <c r="AE7" s="31" t="s">
        <v>278</v>
      </c>
      <c r="AF7" s="31" t="s">
        <v>279</v>
      </c>
      <c r="AG7" s="31" t="s">
        <v>280</v>
      </c>
      <c r="AH7" s="31" t="s">
        <v>281</v>
      </c>
      <c r="AI7" s="31" t="s">
        <v>282</v>
      </c>
      <c r="AJ7" s="31" t="s">
        <v>283</v>
      </c>
      <c r="AK7" s="31" t="s">
        <v>284</v>
      </c>
      <c r="AL7" s="31" t="s">
        <v>285</v>
      </c>
      <c r="AM7" s="31" t="s">
        <v>286</v>
      </c>
      <c r="AN7" s="32"/>
    </row>
    <row r="8" spans="1:40" ht="60" customHeight="1">
      <c r="A8" s="571"/>
      <c r="B8" s="612"/>
      <c r="C8" s="571"/>
      <c r="D8" s="613"/>
      <c r="E8" s="563"/>
      <c r="F8" s="563"/>
      <c r="G8" s="563"/>
      <c r="H8" s="75" t="s">
        <v>58</v>
      </c>
      <c r="I8" s="75" t="s">
        <v>59</v>
      </c>
      <c r="J8" s="543"/>
      <c r="K8" s="543"/>
      <c r="L8" s="83" t="s">
        <v>13</v>
      </c>
      <c r="M8" s="83" t="s">
        <v>361</v>
      </c>
      <c r="N8" s="83" t="s">
        <v>416</v>
      </c>
      <c r="O8" s="548"/>
      <c r="P8" s="617"/>
      <c r="Q8" s="623"/>
      <c r="R8" s="623"/>
      <c r="S8" s="571"/>
      <c r="T8" s="4"/>
      <c r="U8" s="31"/>
      <c r="V8" s="31"/>
      <c r="W8" s="32"/>
      <c r="X8" s="33" t="s">
        <v>287</v>
      </c>
      <c r="Y8" s="32">
        <f>COUNTIF(U9:U905,"CT")</f>
        <v>1</v>
      </c>
      <c r="Z8" s="58">
        <f>SUMIF(U10:U906,"CT",W10:W906)</f>
        <v>0</v>
      </c>
      <c r="AA8" s="58">
        <f t="shared" ref="AA8:AM8" si="0">SUMIFS($W$9:$W$1007,$U$9:$U$1007,"CT",$V$9:$V$1007,AA7)</f>
        <v>0</v>
      </c>
      <c r="AB8" s="58">
        <f t="shared" si="0"/>
        <v>0</v>
      </c>
      <c r="AC8" s="58">
        <f t="shared" si="0"/>
        <v>0</v>
      </c>
      <c r="AD8" s="58">
        <f t="shared" si="0"/>
        <v>0</v>
      </c>
      <c r="AE8" s="58">
        <f t="shared" si="0"/>
        <v>0</v>
      </c>
      <c r="AF8" s="58">
        <f t="shared" si="0"/>
        <v>0</v>
      </c>
      <c r="AG8" s="58">
        <f t="shared" si="0"/>
        <v>0</v>
      </c>
      <c r="AH8" s="58">
        <f t="shared" si="0"/>
        <v>0</v>
      </c>
      <c r="AI8" s="58">
        <f t="shared" si="0"/>
        <v>0</v>
      </c>
      <c r="AJ8" s="58">
        <f t="shared" si="0"/>
        <v>0</v>
      </c>
      <c r="AK8" s="58">
        <f t="shared" si="0"/>
        <v>0</v>
      </c>
      <c r="AL8" s="58">
        <f t="shared" si="0"/>
        <v>0</v>
      </c>
      <c r="AM8" s="58">
        <f t="shared" si="0"/>
        <v>0</v>
      </c>
      <c r="AN8" s="33">
        <f>SUM(AA8:AM8)</f>
        <v>0</v>
      </c>
    </row>
    <row r="9" spans="1:40" s="64" customFormat="1" ht="67.5" customHeight="1">
      <c r="A9" s="60"/>
      <c r="B9" s="61" t="s">
        <v>9</v>
      </c>
      <c r="C9" s="60"/>
      <c r="D9" s="60"/>
      <c r="E9" s="60"/>
      <c r="F9" s="60"/>
      <c r="G9" s="60"/>
      <c r="H9" s="62">
        <f>SUM(H10)</f>
        <v>268187</v>
      </c>
      <c r="I9" s="62">
        <f t="shared" ref="I9:R10" si="1">SUM(I10)</f>
        <v>226000</v>
      </c>
      <c r="J9" s="62">
        <f t="shared" si="1"/>
        <v>47825</v>
      </c>
      <c r="K9" s="62">
        <f t="shared" si="1"/>
        <v>47825</v>
      </c>
      <c r="L9" s="62">
        <f t="shared" si="1"/>
        <v>0</v>
      </c>
      <c r="M9" s="62">
        <f t="shared" si="1"/>
        <v>47825</v>
      </c>
      <c r="N9" s="62">
        <f t="shared" si="1"/>
        <v>0</v>
      </c>
      <c r="O9" s="62">
        <f t="shared" si="1"/>
        <v>0</v>
      </c>
      <c r="P9" s="62">
        <f t="shared" si="1"/>
        <v>0</v>
      </c>
      <c r="Q9" s="62">
        <f t="shared" si="1"/>
        <v>0</v>
      </c>
      <c r="R9" s="62">
        <f t="shared" si="1"/>
        <v>35553</v>
      </c>
      <c r="S9" s="164" t="s">
        <v>722</v>
      </c>
      <c r="T9" s="63">
        <f>700000-P9</f>
        <v>700000</v>
      </c>
      <c r="U9" s="78"/>
      <c r="V9" s="78"/>
      <c r="W9" s="79"/>
      <c r="X9" s="32" t="s">
        <v>288</v>
      </c>
      <c r="Y9" s="32">
        <f>COUNTIF(U9:U904,"KCM")</f>
        <v>0</v>
      </c>
      <c r="Z9" s="58">
        <f>SUMIF(U9:U904,"KCM",W9:W904)</f>
        <v>0</v>
      </c>
      <c r="AA9" s="58">
        <f t="shared" ref="AA9:AM9" si="2">SUMIFS($W$9:$W$1007,$U$9:$U$1007,"KCM",$V$9:$V$1007,AA7)</f>
        <v>0</v>
      </c>
      <c r="AB9" s="58">
        <f t="shared" si="2"/>
        <v>0</v>
      </c>
      <c r="AC9" s="58">
        <f t="shared" si="2"/>
        <v>0</v>
      </c>
      <c r="AD9" s="58">
        <f t="shared" si="2"/>
        <v>0</v>
      </c>
      <c r="AE9" s="58">
        <f t="shared" si="2"/>
        <v>0</v>
      </c>
      <c r="AF9" s="58">
        <f t="shared" si="2"/>
        <v>0</v>
      </c>
      <c r="AG9" s="58">
        <f t="shared" si="2"/>
        <v>0</v>
      </c>
      <c r="AH9" s="58">
        <f t="shared" si="2"/>
        <v>0</v>
      </c>
      <c r="AI9" s="58">
        <f t="shared" si="2"/>
        <v>0</v>
      </c>
      <c r="AJ9" s="58">
        <f t="shared" si="2"/>
        <v>0</v>
      </c>
      <c r="AK9" s="58">
        <f t="shared" si="2"/>
        <v>0</v>
      </c>
      <c r="AL9" s="58">
        <f t="shared" si="2"/>
        <v>0</v>
      </c>
      <c r="AM9" s="58">
        <f t="shared" si="2"/>
        <v>0</v>
      </c>
      <c r="AN9" s="33">
        <f>SUM(AA9:AM9)</f>
        <v>0</v>
      </c>
    </row>
    <row r="10" spans="1:40" s="13" customFormat="1" ht="54.75" customHeight="1">
      <c r="A10" s="75"/>
      <c r="B10" s="19" t="s">
        <v>689</v>
      </c>
      <c r="C10" s="75"/>
      <c r="D10" s="75"/>
      <c r="E10" s="75"/>
      <c r="F10" s="75"/>
      <c r="G10" s="75"/>
      <c r="H10" s="5">
        <f>SUM(H11)</f>
        <v>268187</v>
      </c>
      <c r="I10" s="5">
        <f t="shared" si="1"/>
        <v>226000</v>
      </c>
      <c r="J10" s="5">
        <f t="shared" si="1"/>
        <v>47825</v>
      </c>
      <c r="K10" s="5">
        <f t="shared" si="1"/>
        <v>47825</v>
      </c>
      <c r="L10" s="5">
        <f t="shared" si="1"/>
        <v>0</v>
      </c>
      <c r="M10" s="5">
        <f t="shared" si="1"/>
        <v>47825</v>
      </c>
      <c r="N10" s="5">
        <f t="shared" si="1"/>
        <v>0</v>
      </c>
      <c r="O10" s="5">
        <f t="shared" si="1"/>
        <v>0</v>
      </c>
      <c r="P10" s="5">
        <f t="shared" si="1"/>
        <v>0</v>
      </c>
      <c r="Q10" s="5">
        <f t="shared" si="1"/>
        <v>0</v>
      </c>
      <c r="R10" s="5">
        <f t="shared" si="1"/>
        <v>35553</v>
      </c>
      <c r="S10" s="20"/>
      <c r="U10" s="110"/>
      <c r="V10" s="110"/>
      <c r="W10" s="111"/>
      <c r="X10" s="79"/>
      <c r="Y10" s="111"/>
      <c r="Z10" s="111"/>
      <c r="AA10" s="111"/>
      <c r="AB10" s="111"/>
      <c r="AC10" s="111"/>
      <c r="AD10" s="111"/>
      <c r="AE10" s="111"/>
      <c r="AF10" s="111"/>
      <c r="AG10" s="111"/>
      <c r="AH10" s="111"/>
      <c r="AI10" s="111"/>
      <c r="AJ10" s="111"/>
      <c r="AK10" s="111"/>
      <c r="AL10" s="111"/>
      <c r="AM10" s="111"/>
      <c r="AN10" s="111"/>
    </row>
    <row r="11" spans="1:40" s="15" customFormat="1" ht="44.25" customHeight="1">
      <c r="A11" s="11"/>
      <c r="B11" s="12" t="s">
        <v>56</v>
      </c>
      <c r="C11" s="12"/>
      <c r="D11" s="12"/>
      <c r="E11" s="12"/>
      <c r="F11" s="12"/>
      <c r="G11" s="12"/>
      <c r="H11" s="21">
        <f>SUM(H12:H12)</f>
        <v>268187</v>
      </c>
      <c r="I11" s="21">
        <f t="shared" ref="I11:R11" si="3">SUM(I12:I12)</f>
        <v>226000</v>
      </c>
      <c r="J11" s="21">
        <f t="shared" si="3"/>
        <v>47825</v>
      </c>
      <c r="K11" s="21">
        <f t="shared" si="3"/>
        <v>47825</v>
      </c>
      <c r="L11" s="21">
        <f t="shared" si="3"/>
        <v>0</v>
      </c>
      <c r="M11" s="21">
        <f t="shared" si="3"/>
        <v>47825</v>
      </c>
      <c r="N11" s="21">
        <f t="shared" si="3"/>
        <v>0</v>
      </c>
      <c r="O11" s="21">
        <f t="shared" si="3"/>
        <v>0</v>
      </c>
      <c r="P11" s="21">
        <f t="shared" si="3"/>
        <v>0</v>
      </c>
      <c r="Q11" s="21">
        <f t="shared" si="3"/>
        <v>0</v>
      </c>
      <c r="R11" s="21">
        <f t="shared" si="3"/>
        <v>35553</v>
      </c>
      <c r="S11" s="14"/>
    </row>
    <row r="12" spans="1:40" ht="150.75" customHeight="1">
      <c r="A12" s="7">
        <v>1</v>
      </c>
      <c r="B12" s="66" t="s">
        <v>540</v>
      </c>
      <c r="C12" s="116" t="s">
        <v>541</v>
      </c>
      <c r="D12" s="71" t="s">
        <v>21</v>
      </c>
      <c r="E12" s="179" t="s">
        <v>542</v>
      </c>
      <c r="F12" s="70" t="s">
        <v>39</v>
      </c>
      <c r="G12" s="162" t="s">
        <v>690</v>
      </c>
      <c r="H12" s="26">
        <v>268187</v>
      </c>
      <c r="I12" s="26">
        <v>226000</v>
      </c>
      <c r="J12" s="25">
        <v>47825</v>
      </c>
      <c r="K12" s="26">
        <f t="shared" ref="K12" si="4">SUM(L12:N12)</f>
        <v>47825</v>
      </c>
      <c r="L12" s="25"/>
      <c r="M12" s="26">
        <f t="shared" ref="M12" si="5">J12-L12</f>
        <v>47825</v>
      </c>
      <c r="N12" s="26"/>
      <c r="O12" s="26">
        <f t="shared" ref="O12" si="6">J12-K12</f>
        <v>0</v>
      </c>
      <c r="P12" s="26"/>
      <c r="Q12" s="26"/>
      <c r="R12" s="26">
        <v>35553</v>
      </c>
      <c r="S12" s="16" t="s">
        <v>941</v>
      </c>
      <c r="U12" s="8" t="s">
        <v>289</v>
      </c>
      <c r="V12" s="8" t="s">
        <v>291</v>
      </c>
      <c r="W12" s="4">
        <f>P12</f>
        <v>0</v>
      </c>
    </row>
    <row r="13" spans="1:40" ht="18.75" customHeight="1">
      <c r="A13" s="136"/>
      <c r="B13" s="136"/>
      <c r="C13" s="136"/>
      <c r="D13" s="136"/>
      <c r="E13" s="136"/>
      <c r="F13" s="136"/>
      <c r="G13" s="136"/>
      <c r="H13" s="136"/>
      <c r="I13" s="136"/>
      <c r="J13" s="136"/>
      <c r="K13" s="136"/>
      <c r="L13" s="136"/>
      <c r="M13" s="136"/>
      <c r="N13" s="136"/>
      <c r="O13" s="136"/>
      <c r="P13" s="136"/>
      <c r="Q13" s="136"/>
      <c r="R13" s="136"/>
      <c r="S13" s="136"/>
    </row>
  </sheetData>
  <mergeCells count="22">
    <mergeCell ref="A3:S3"/>
    <mergeCell ref="A1:S1"/>
    <mergeCell ref="A2:S2"/>
    <mergeCell ref="A4:S4"/>
    <mergeCell ref="A6:A8"/>
    <mergeCell ref="B6:B8"/>
    <mergeCell ref="C6:C8"/>
    <mergeCell ref="D6:D8"/>
    <mergeCell ref="E6:E8"/>
    <mergeCell ref="F6:F8"/>
    <mergeCell ref="G6:I6"/>
    <mergeCell ref="Q6:Q8"/>
    <mergeCell ref="R6:R8"/>
    <mergeCell ref="S6:S8"/>
    <mergeCell ref="G7:G8"/>
    <mergeCell ref="H7:I7"/>
    <mergeCell ref="P6:P8"/>
    <mergeCell ref="K7:K8"/>
    <mergeCell ref="L7:N7"/>
    <mergeCell ref="J6:J8"/>
    <mergeCell ref="K6:N6"/>
    <mergeCell ref="O6:O8"/>
  </mergeCells>
  <printOptions horizontalCentered="1"/>
  <pageMargins left="0.39370078740157499" right="0.39370078740157499" top="0.39370078740157499" bottom="0.39370078740157499" header="0.196850393700787" footer="0.196850393700787"/>
  <pageSetup paperSize="9" scale="47" fitToHeight="0" orientation="landscape" r:id="rId1"/>
  <headerFooter alignWithMargins="0">
    <oddFooter>&amp;C&amp;"Times New Roman,thường"&amp;11&amp;P/&amp;N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O13"/>
  <sheetViews>
    <sheetView view="pageBreakPreview" zoomScale="60" zoomScaleNormal="70" workbookViewId="0">
      <selection activeCell="B10" sqref="B10"/>
    </sheetView>
  </sheetViews>
  <sheetFormatPr defaultColWidth="9.109375" defaultRowHeight="16.8"/>
  <cols>
    <col min="1" max="1" width="8.6640625" style="8" customWidth="1"/>
    <col min="2" max="2" width="50.6640625" style="8" customWidth="1"/>
    <col min="3" max="6" width="20.6640625" style="8" customWidth="1"/>
    <col min="7" max="7" width="22.6640625" style="8" customWidth="1"/>
    <col min="8" max="9" width="20.6640625" style="8" customWidth="1"/>
    <col min="10" max="15" width="20.6640625" style="8" hidden="1" customWidth="1"/>
    <col min="16" max="16" width="20.6640625" style="8" customWidth="1"/>
    <col min="17" max="19" width="15.6640625" style="8" customWidth="1"/>
    <col min="20" max="20" width="40.6640625" style="8" customWidth="1"/>
    <col min="21" max="21" width="19.109375" style="8" customWidth="1"/>
    <col min="22" max="22" width="14.88671875" style="8" customWidth="1"/>
    <col min="23" max="23" width="13.44140625" style="8" customWidth="1"/>
    <col min="24" max="24" width="17.88671875" style="8" customWidth="1"/>
    <col min="25" max="25" width="19.33203125" style="8" customWidth="1"/>
    <col min="26" max="26" width="17.33203125" style="8" customWidth="1"/>
    <col min="27" max="27" width="12.44140625" style="8" customWidth="1"/>
    <col min="28" max="28" width="18.88671875" style="8" customWidth="1"/>
    <col min="29" max="40" width="9.109375" style="8"/>
    <col min="41" max="41" width="11.88671875" style="8" customWidth="1"/>
    <col min="42" max="16384" width="9.109375" style="8"/>
  </cols>
  <sheetData>
    <row r="1" spans="1:41" ht="39.9" customHeight="1">
      <c r="A1" s="567" t="s">
        <v>779</v>
      </c>
      <c r="B1" s="567"/>
      <c r="C1" s="567"/>
      <c r="D1" s="567"/>
      <c r="E1" s="567"/>
      <c r="F1" s="567"/>
      <c r="G1" s="567"/>
      <c r="H1" s="567"/>
      <c r="I1" s="567"/>
      <c r="J1" s="567"/>
      <c r="K1" s="567"/>
      <c r="L1" s="567"/>
      <c r="M1" s="567"/>
      <c r="N1" s="567"/>
      <c r="O1" s="567"/>
      <c r="P1" s="567"/>
      <c r="Q1" s="567"/>
      <c r="R1" s="567"/>
      <c r="S1" s="567"/>
      <c r="T1" s="567"/>
    </row>
    <row r="2" spans="1:41" ht="35.1" customHeight="1">
      <c r="A2" s="568" t="s">
        <v>724</v>
      </c>
      <c r="B2" s="568"/>
      <c r="C2" s="568"/>
      <c r="D2" s="568"/>
      <c r="E2" s="568"/>
      <c r="F2" s="568"/>
      <c r="G2" s="568"/>
      <c r="H2" s="568"/>
      <c r="I2" s="568"/>
      <c r="J2" s="568"/>
      <c r="K2" s="568"/>
      <c r="L2" s="568"/>
      <c r="M2" s="568"/>
      <c r="N2" s="568"/>
      <c r="O2" s="568"/>
      <c r="P2" s="568"/>
      <c r="Q2" s="568"/>
      <c r="R2" s="568"/>
      <c r="S2" s="568"/>
      <c r="T2" s="568"/>
    </row>
    <row r="3" spans="1:41" ht="35.1" customHeight="1">
      <c r="A3" s="568" t="s">
        <v>953</v>
      </c>
      <c r="B3" s="568"/>
      <c r="C3" s="568"/>
      <c r="D3" s="568"/>
      <c r="E3" s="568"/>
      <c r="F3" s="568"/>
      <c r="G3" s="568"/>
      <c r="H3" s="568"/>
      <c r="I3" s="568"/>
      <c r="J3" s="568"/>
      <c r="K3" s="568"/>
      <c r="L3" s="568"/>
      <c r="M3" s="568"/>
      <c r="N3" s="568"/>
      <c r="O3" s="568"/>
      <c r="P3" s="568"/>
      <c r="Q3" s="568"/>
      <c r="R3" s="568"/>
      <c r="S3" s="568"/>
      <c r="T3" s="568"/>
    </row>
    <row r="4" spans="1:41" ht="39.9" customHeight="1">
      <c r="A4" s="569" t="str">
        <f>'14. KDSDĐ'!A4:S4</f>
        <v>(Ban hành kèm theo Quyết định số: 2631/QĐ-UBND ngày 19/12 /2024 của Ủy ban nhân dân tỉnh)</v>
      </c>
      <c r="B4" s="569"/>
      <c r="C4" s="569"/>
      <c r="D4" s="569"/>
      <c r="E4" s="569"/>
      <c r="F4" s="569"/>
      <c r="G4" s="569"/>
      <c r="H4" s="569"/>
      <c r="I4" s="569"/>
      <c r="J4" s="569"/>
      <c r="K4" s="569"/>
      <c r="L4" s="569"/>
      <c r="M4" s="569"/>
      <c r="N4" s="569"/>
      <c r="O4" s="569"/>
      <c r="P4" s="569"/>
      <c r="Q4" s="569"/>
      <c r="R4" s="569"/>
      <c r="S4" s="569"/>
      <c r="T4" s="569"/>
    </row>
    <row r="5" spans="1:41" ht="33.75" customHeight="1">
      <c r="J5" s="9"/>
      <c r="K5" s="9"/>
      <c r="L5" s="9"/>
      <c r="M5" s="9"/>
      <c r="N5" s="9"/>
      <c r="O5" s="9"/>
      <c r="P5" s="9"/>
      <c r="Q5" s="9"/>
      <c r="R5" s="9"/>
      <c r="S5" s="9"/>
      <c r="T5" s="9" t="s">
        <v>0</v>
      </c>
    </row>
    <row r="6" spans="1:41" ht="60" customHeight="1">
      <c r="A6" s="570" t="s">
        <v>1</v>
      </c>
      <c r="B6" s="612" t="s">
        <v>320</v>
      </c>
      <c r="C6" s="570" t="s">
        <v>3</v>
      </c>
      <c r="D6" s="610" t="s">
        <v>321</v>
      </c>
      <c r="E6" s="563" t="s">
        <v>4</v>
      </c>
      <c r="F6" s="563" t="s">
        <v>5</v>
      </c>
      <c r="G6" s="563" t="s">
        <v>118</v>
      </c>
      <c r="H6" s="563"/>
      <c r="I6" s="563"/>
      <c r="J6" s="543" t="s">
        <v>663</v>
      </c>
      <c r="K6" s="543" t="s">
        <v>684</v>
      </c>
      <c r="L6" s="543"/>
      <c r="M6" s="543"/>
      <c r="N6" s="543"/>
      <c r="O6" s="547" t="s">
        <v>688</v>
      </c>
      <c r="P6" s="615" t="s">
        <v>850</v>
      </c>
      <c r="Q6" s="621" t="s">
        <v>682</v>
      </c>
      <c r="R6" s="621" t="s">
        <v>849</v>
      </c>
      <c r="S6" s="621" t="s">
        <v>678</v>
      </c>
      <c r="T6" s="570" t="s">
        <v>6</v>
      </c>
      <c r="U6" s="10"/>
      <c r="V6" s="17"/>
      <c r="W6" s="17"/>
    </row>
    <row r="7" spans="1:41" ht="60" customHeight="1">
      <c r="A7" s="571"/>
      <c r="B7" s="612"/>
      <c r="C7" s="571"/>
      <c r="D7" s="611"/>
      <c r="E7" s="563"/>
      <c r="F7" s="563"/>
      <c r="G7" s="563" t="s">
        <v>7</v>
      </c>
      <c r="H7" s="563" t="s">
        <v>8</v>
      </c>
      <c r="I7" s="563"/>
      <c r="J7" s="543"/>
      <c r="K7" s="543" t="s">
        <v>9</v>
      </c>
      <c r="L7" s="543" t="s">
        <v>10</v>
      </c>
      <c r="M7" s="543"/>
      <c r="N7" s="543"/>
      <c r="O7" s="551"/>
      <c r="P7" s="616"/>
      <c r="Q7" s="622"/>
      <c r="R7" s="622"/>
      <c r="S7" s="622"/>
      <c r="T7" s="571"/>
      <c r="U7" s="10"/>
      <c r="V7" s="31" t="s">
        <v>269</v>
      </c>
      <c r="W7" s="31" t="s">
        <v>270</v>
      </c>
      <c r="X7" s="32" t="s">
        <v>271</v>
      </c>
      <c r="Y7" s="32"/>
      <c r="Z7" s="32" t="s">
        <v>272</v>
      </c>
      <c r="AA7" s="31" t="s">
        <v>273</v>
      </c>
      <c r="AB7" s="31" t="s">
        <v>291</v>
      </c>
      <c r="AC7" s="31" t="s">
        <v>378</v>
      </c>
      <c r="AD7" s="31" t="s">
        <v>276</v>
      </c>
      <c r="AE7" s="31" t="s">
        <v>277</v>
      </c>
      <c r="AF7" s="31" t="s">
        <v>278</v>
      </c>
      <c r="AG7" s="31" t="s">
        <v>279</v>
      </c>
      <c r="AH7" s="31" t="s">
        <v>280</v>
      </c>
      <c r="AI7" s="31" t="s">
        <v>281</v>
      </c>
      <c r="AJ7" s="31" t="s">
        <v>282</v>
      </c>
      <c r="AK7" s="31" t="s">
        <v>283</v>
      </c>
      <c r="AL7" s="31" t="s">
        <v>284</v>
      </c>
      <c r="AM7" s="31" t="s">
        <v>285</v>
      </c>
      <c r="AN7" s="31" t="s">
        <v>286</v>
      </c>
      <c r="AO7" s="32"/>
    </row>
    <row r="8" spans="1:41" ht="60" customHeight="1">
      <c r="A8" s="571"/>
      <c r="B8" s="612"/>
      <c r="C8" s="571"/>
      <c r="D8" s="613"/>
      <c r="E8" s="563"/>
      <c r="F8" s="563"/>
      <c r="G8" s="563"/>
      <c r="H8" s="75" t="s">
        <v>58</v>
      </c>
      <c r="I8" s="75" t="s">
        <v>59</v>
      </c>
      <c r="J8" s="543"/>
      <c r="K8" s="543"/>
      <c r="L8" s="83" t="s">
        <v>13</v>
      </c>
      <c r="M8" s="83" t="s">
        <v>361</v>
      </c>
      <c r="N8" s="83" t="s">
        <v>416</v>
      </c>
      <c r="O8" s="548"/>
      <c r="P8" s="617"/>
      <c r="Q8" s="623"/>
      <c r="R8" s="623"/>
      <c r="S8" s="623"/>
      <c r="T8" s="571"/>
      <c r="U8" s="4"/>
      <c r="V8" s="31"/>
      <c r="W8" s="31"/>
      <c r="X8" s="32"/>
      <c r="Y8" s="33" t="s">
        <v>287</v>
      </c>
      <c r="Z8" s="32">
        <f>COUNTIF(V9:V905,"CT")</f>
        <v>1</v>
      </c>
      <c r="AA8" s="58">
        <f>SUMIF(V10:V906,"CT",X10:X906)</f>
        <v>3400</v>
      </c>
      <c r="AB8" s="58">
        <f t="shared" ref="AB8:AN8" si="0">SUMIFS($X$9:$X$1007,$V$9:$V$1007,"CT",$W$9:$W$1007,AB7)</f>
        <v>3400</v>
      </c>
      <c r="AC8" s="58">
        <f t="shared" si="0"/>
        <v>0</v>
      </c>
      <c r="AD8" s="58">
        <f t="shared" si="0"/>
        <v>0</v>
      </c>
      <c r="AE8" s="58">
        <f t="shared" si="0"/>
        <v>0</v>
      </c>
      <c r="AF8" s="58">
        <f t="shared" si="0"/>
        <v>0</v>
      </c>
      <c r="AG8" s="58">
        <f t="shared" si="0"/>
        <v>0</v>
      </c>
      <c r="AH8" s="58">
        <f t="shared" si="0"/>
        <v>0</v>
      </c>
      <c r="AI8" s="58">
        <f t="shared" si="0"/>
        <v>0</v>
      </c>
      <c r="AJ8" s="58">
        <f t="shared" si="0"/>
        <v>0</v>
      </c>
      <c r="AK8" s="58">
        <f t="shared" si="0"/>
        <v>0</v>
      </c>
      <c r="AL8" s="58">
        <f t="shared" si="0"/>
        <v>0</v>
      </c>
      <c r="AM8" s="58">
        <f t="shared" si="0"/>
        <v>0</v>
      </c>
      <c r="AN8" s="58">
        <f t="shared" si="0"/>
        <v>0</v>
      </c>
      <c r="AO8" s="33">
        <f>SUM(AB8:AN8)</f>
        <v>3400</v>
      </c>
    </row>
    <row r="9" spans="1:41" s="64" customFormat="1" ht="60" customHeight="1">
      <c r="A9" s="60"/>
      <c r="B9" s="61" t="s">
        <v>9</v>
      </c>
      <c r="C9" s="60"/>
      <c r="D9" s="60"/>
      <c r="E9" s="60"/>
      <c r="F9" s="60"/>
      <c r="G9" s="60"/>
      <c r="H9" s="62">
        <f>SUM(H10)</f>
        <v>3580</v>
      </c>
      <c r="I9" s="62">
        <f t="shared" ref="I9:S10" si="1">SUM(I10)</f>
        <v>3580</v>
      </c>
      <c r="J9" s="62">
        <f t="shared" si="1"/>
        <v>47825</v>
      </c>
      <c r="K9" s="62">
        <f t="shared" si="1"/>
        <v>47825</v>
      </c>
      <c r="L9" s="62">
        <f t="shared" si="1"/>
        <v>0</v>
      </c>
      <c r="M9" s="62">
        <f t="shared" si="1"/>
        <v>47825</v>
      </c>
      <c r="N9" s="62">
        <f t="shared" si="1"/>
        <v>0</v>
      </c>
      <c r="O9" s="62">
        <f t="shared" si="1"/>
        <v>0</v>
      </c>
      <c r="P9" s="62">
        <f t="shared" si="1"/>
        <v>3400</v>
      </c>
      <c r="Q9" s="62">
        <f t="shared" si="1"/>
        <v>0</v>
      </c>
      <c r="R9" s="62">
        <f t="shared" si="1"/>
        <v>0</v>
      </c>
      <c r="S9" s="62">
        <f t="shared" si="1"/>
        <v>3400</v>
      </c>
      <c r="T9" s="18"/>
      <c r="U9" s="63"/>
      <c r="V9" s="78"/>
      <c r="W9" s="78"/>
      <c r="X9" s="79"/>
      <c r="Y9" s="32" t="s">
        <v>288</v>
      </c>
      <c r="Z9" s="32">
        <f>COUNTIF(V9:V904,"KCM")</f>
        <v>0</v>
      </c>
      <c r="AA9" s="58">
        <f>SUMIF(V9:V904,"KCM",X9:X904)</f>
        <v>0</v>
      </c>
      <c r="AB9" s="58">
        <f t="shared" ref="AB9:AN9" si="2">SUMIFS($X$9:$X$1007,$V$9:$V$1007,"KCM",$W$9:$W$1007,AB7)</f>
        <v>0</v>
      </c>
      <c r="AC9" s="58">
        <f t="shared" si="2"/>
        <v>0</v>
      </c>
      <c r="AD9" s="58">
        <f t="shared" si="2"/>
        <v>0</v>
      </c>
      <c r="AE9" s="58">
        <f t="shared" si="2"/>
        <v>0</v>
      </c>
      <c r="AF9" s="58">
        <f t="shared" si="2"/>
        <v>0</v>
      </c>
      <c r="AG9" s="58">
        <f t="shared" si="2"/>
        <v>0</v>
      </c>
      <c r="AH9" s="58">
        <f t="shared" si="2"/>
        <v>0</v>
      </c>
      <c r="AI9" s="58">
        <f t="shared" si="2"/>
        <v>0</v>
      </c>
      <c r="AJ9" s="58">
        <f t="shared" si="2"/>
        <v>0</v>
      </c>
      <c r="AK9" s="58">
        <f t="shared" si="2"/>
        <v>0</v>
      </c>
      <c r="AL9" s="58">
        <f t="shared" si="2"/>
        <v>0</v>
      </c>
      <c r="AM9" s="58">
        <f t="shared" si="2"/>
        <v>0</v>
      </c>
      <c r="AN9" s="58">
        <f t="shared" si="2"/>
        <v>0</v>
      </c>
      <c r="AO9" s="33">
        <f>SUM(AB9:AN9)</f>
        <v>0</v>
      </c>
    </row>
    <row r="10" spans="1:41" s="13" customFormat="1" ht="42" customHeight="1">
      <c r="A10" s="75"/>
      <c r="B10" s="19" t="s">
        <v>978</v>
      </c>
      <c r="C10" s="75"/>
      <c r="D10" s="75"/>
      <c r="E10" s="75"/>
      <c r="F10" s="75"/>
      <c r="G10" s="75"/>
      <c r="H10" s="5">
        <f>SUM(H11)</f>
        <v>3580</v>
      </c>
      <c r="I10" s="5">
        <f t="shared" si="1"/>
        <v>3580</v>
      </c>
      <c r="J10" s="5">
        <f t="shared" si="1"/>
        <v>47825</v>
      </c>
      <c r="K10" s="5">
        <f t="shared" si="1"/>
        <v>47825</v>
      </c>
      <c r="L10" s="5">
        <f t="shared" si="1"/>
        <v>0</v>
      </c>
      <c r="M10" s="5">
        <f t="shared" si="1"/>
        <v>47825</v>
      </c>
      <c r="N10" s="5">
        <f t="shared" si="1"/>
        <v>0</v>
      </c>
      <c r="O10" s="5">
        <f t="shared" si="1"/>
        <v>0</v>
      </c>
      <c r="P10" s="5">
        <f t="shared" si="1"/>
        <v>3400</v>
      </c>
      <c r="Q10" s="5">
        <f t="shared" si="1"/>
        <v>0</v>
      </c>
      <c r="R10" s="5">
        <f t="shared" si="1"/>
        <v>0</v>
      </c>
      <c r="S10" s="5">
        <f t="shared" si="1"/>
        <v>3400</v>
      </c>
      <c r="T10" s="228"/>
      <c r="V10" s="110"/>
      <c r="W10" s="110"/>
      <c r="X10" s="111"/>
      <c r="Y10" s="79"/>
      <c r="Z10" s="111"/>
      <c r="AA10" s="111"/>
      <c r="AB10" s="111"/>
      <c r="AC10" s="111"/>
      <c r="AD10" s="111"/>
      <c r="AE10" s="111"/>
      <c r="AF10" s="111"/>
      <c r="AG10" s="111"/>
      <c r="AH10" s="111"/>
      <c r="AI10" s="111"/>
      <c r="AJ10" s="111"/>
      <c r="AK10" s="111"/>
      <c r="AL10" s="111"/>
      <c r="AM10" s="111"/>
      <c r="AN10" s="111"/>
      <c r="AO10" s="111"/>
    </row>
    <row r="11" spans="1:41" s="15" customFormat="1" ht="42" customHeight="1">
      <c r="A11" s="11"/>
      <c r="B11" s="12" t="s">
        <v>961</v>
      </c>
      <c r="C11" s="12"/>
      <c r="D11" s="12"/>
      <c r="E11" s="12"/>
      <c r="F11" s="12"/>
      <c r="G11" s="12"/>
      <c r="H11" s="21">
        <f>SUM(H12:H12)</f>
        <v>3580</v>
      </c>
      <c r="I11" s="21">
        <f t="shared" ref="I11:S11" si="3">SUM(I12:I12)</f>
        <v>3580</v>
      </c>
      <c r="J11" s="21">
        <f t="shared" si="3"/>
        <v>47825</v>
      </c>
      <c r="K11" s="21">
        <f t="shared" si="3"/>
        <v>47825</v>
      </c>
      <c r="L11" s="21">
        <f t="shared" si="3"/>
        <v>0</v>
      </c>
      <c r="M11" s="21">
        <f t="shared" si="3"/>
        <v>47825</v>
      </c>
      <c r="N11" s="21">
        <f t="shared" si="3"/>
        <v>0</v>
      </c>
      <c r="O11" s="21">
        <f t="shared" si="3"/>
        <v>0</v>
      </c>
      <c r="P11" s="21">
        <f t="shared" si="3"/>
        <v>3400</v>
      </c>
      <c r="Q11" s="21">
        <f t="shared" si="3"/>
        <v>0</v>
      </c>
      <c r="R11" s="21">
        <f t="shared" si="3"/>
        <v>0</v>
      </c>
      <c r="S11" s="21">
        <f t="shared" si="3"/>
        <v>3400</v>
      </c>
      <c r="T11" s="14"/>
    </row>
    <row r="12" spans="1:41" ht="137.25" customHeight="1">
      <c r="A12" s="7">
        <v>1</v>
      </c>
      <c r="B12" s="66" t="s">
        <v>694</v>
      </c>
      <c r="C12" s="116" t="s">
        <v>695</v>
      </c>
      <c r="D12" s="71" t="s">
        <v>19</v>
      </c>
      <c r="E12" s="179" t="s">
        <v>750</v>
      </c>
      <c r="F12" s="70" t="s">
        <v>528</v>
      </c>
      <c r="G12" s="162" t="s">
        <v>1000</v>
      </c>
      <c r="H12" s="26">
        <v>3580</v>
      </c>
      <c r="I12" s="26">
        <v>3580</v>
      </c>
      <c r="J12" s="25">
        <v>47825</v>
      </c>
      <c r="K12" s="26">
        <f t="shared" ref="K12" si="4">SUM(L12:N12)</f>
        <v>47825</v>
      </c>
      <c r="L12" s="25"/>
      <c r="M12" s="26">
        <f t="shared" ref="M12" si="5">J12-L12</f>
        <v>47825</v>
      </c>
      <c r="N12" s="26"/>
      <c r="O12" s="26">
        <f t="shared" ref="O12" si="6">J12-K12</f>
        <v>0</v>
      </c>
      <c r="P12" s="26">
        <v>3400</v>
      </c>
      <c r="Q12" s="26"/>
      <c r="R12" s="26"/>
      <c r="S12" s="26">
        <v>3400</v>
      </c>
      <c r="T12" s="16"/>
      <c r="V12" s="8" t="s">
        <v>289</v>
      </c>
      <c r="W12" s="8" t="s">
        <v>291</v>
      </c>
      <c r="X12" s="4">
        <f>P12</f>
        <v>3400</v>
      </c>
    </row>
    <row r="13" spans="1:41" ht="18.75" customHeight="1">
      <c r="A13" s="136"/>
      <c r="B13" s="136"/>
      <c r="C13" s="136"/>
      <c r="D13" s="136"/>
      <c r="E13" s="136"/>
      <c r="F13" s="136"/>
      <c r="G13" s="136"/>
      <c r="H13" s="136"/>
      <c r="I13" s="136"/>
      <c r="J13" s="136"/>
      <c r="K13" s="136"/>
      <c r="L13" s="136"/>
      <c r="M13" s="136"/>
      <c r="N13" s="136"/>
      <c r="O13" s="136"/>
      <c r="P13" s="136"/>
      <c r="Q13" s="136"/>
      <c r="R13" s="136"/>
      <c r="S13" s="136"/>
      <c r="T13" s="136"/>
    </row>
  </sheetData>
  <mergeCells count="23">
    <mergeCell ref="A3:T3"/>
    <mergeCell ref="A1:T1"/>
    <mergeCell ref="A2:T2"/>
    <mergeCell ref="A4:T4"/>
    <mergeCell ref="A6:A8"/>
    <mergeCell ref="B6:B8"/>
    <mergeCell ref="C6:C8"/>
    <mergeCell ref="D6:D8"/>
    <mergeCell ref="E6:E8"/>
    <mergeCell ref="F6:F8"/>
    <mergeCell ref="G6:I6"/>
    <mergeCell ref="T6:T8"/>
    <mergeCell ref="G7:G8"/>
    <mergeCell ref="H7:I7"/>
    <mergeCell ref="K7:K8"/>
    <mergeCell ref="L7:N7"/>
    <mergeCell ref="S6:S8"/>
    <mergeCell ref="J6:J8"/>
    <mergeCell ref="K6:N6"/>
    <mergeCell ref="O6:O8"/>
    <mergeCell ref="P6:P8"/>
    <mergeCell ref="Q6:Q8"/>
    <mergeCell ref="R6:R8"/>
  </mergeCells>
  <printOptions horizontalCentered="1"/>
  <pageMargins left="0.39370078740157499" right="0.39370078740157499" top="0.39370078740157499" bottom="0.39370078740157499" header="0.196850393700787" footer="0.196850393700787"/>
  <pageSetup paperSize="9" scale="45" fitToHeight="0" orientation="landscape" r:id="rId1"/>
  <headerFooter alignWithMargins="0">
    <oddFooter>&amp;C&amp;"Times New Roman,thường"&amp;11&amp;P/&amp;N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O31"/>
  <sheetViews>
    <sheetView view="pageBreakPreview" topLeftCell="A7" zoomScale="60" zoomScaleNormal="50" workbookViewId="0">
      <selection activeCell="J10" sqref="J10"/>
    </sheetView>
  </sheetViews>
  <sheetFormatPr defaultColWidth="11.44140625" defaultRowHeight="16.8"/>
  <cols>
    <col min="1" max="1" width="8.6640625" style="102" customWidth="1"/>
    <col min="2" max="2" width="50.6640625" style="102" customWidth="1"/>
    <col min="3" max="7" width="20.6640625" style="102" customWidth="1"/>
    <col min="8" max="8" width="22.6640625" style="102" customWidth="1"/>
    <col min="9" max="9" width="19.88671875" style="102" hidden="1" customWidth="1"/>
    <col min="10" max="10" width="44.33203125" style="102" customWidth="1"/>
    <col min="11" max="16384" width="11.44140625" style="102"/>
  </cols>
  <sheetData>
    <row r="1" spans="1:15" ht="39.9" customHeight="1">
      <c r="A1" s="628" t="s">
        <v>721</v>
      </c>
      <c r="B1" s="628"/>
      <c r="C1" s="628"/>
      <c r="D1" s="628"/>
      <c r="E1" s="628"/>
      <c r="F1" s="628"/>
      <c r="G1" s="628"/>
      <c r="H1" s="628"/>
      <c r="I1" s="628"/>
      <c r="J1" s="628"/>
      <c r="K1" s="253"/>
      <c r="L1" s="253"/>
      <c r="M1" s="253"/>
      <c r="N1" s="253"/>
      <c r="O1" s="253"/>
    </row>
    <row r="2" spans="1:15" ht="90" customHeight="1">
      <c r="A2" s="629" t="s">
        <v>780</v>
      </c>
      <c r="B2" s="629"/>
      <c r="C2" s="629"/>
      <c r="D2" s="629"/>
      <c r="E2" s="629"/>
      <c r="F2" s="629"/>
      <c r="G2" s="629"/>
      <c r="H2" s="629"/>
      <c r="I2" s="629"/>
      <c r="J2" s="629"/>
    </row>
    <row r="3" spans="1:15" s="254" customFormat="1" ht="33.75" customHeight="1">
      <c r="A3" s="630" t="str">
        <f>'15. DPNS 2024'!A4:T4</f>
        <v>(Ban hành kèm theo Quyết định số: 2631/QĐ-UBND ngày 19/12 /2024 của Ủy ban nhân dân tỉnh)</v>
      </c>
      <c r="B3" s="630"/>
      <c r="C3" s="630"/>
      <c r="D3" s="630"/>
      <c r="E3" s="630"/>
      <c r="F3" s="630"/>
      <c r="G3" s="630"/>
      <c r="H3" s="630"/>
      <c r="I3" s="630"/>
      <c r="J3" s="630"/>
    </row>
    <row r="4" spans="1:15" ht="20.25" customHeight="1">
      <c r="I4" s="255"/>
      <c r="J4" s="256"/>
    </row>
    <row r="5" spans="1:15" ht="43.5" customHeight="1">
      <c r="A5" s="624" t="s">
        <v>1</v>
      </c>
      <c r="B5" s="624" t="s">
        <v>320</v>
      </c>
      <c r="C5" s="624" t="s">
        <v>3</v>
      </c>
      <c r="D5" s="624" t="s">
        <v>321</v>
      </c>
      <c r="E5" s="624" t="s">
        <v>322</v>
      </c>
      <c r="F5" s="624" t="s">
        <v>323</v>
      </c>
      <c r="G5" s="624" t="s">
        <v>781</v>
      </c>
      <c r="H5" s="624" t="s">
        <v>782</v>
      </c>
      <c r="I5" s="625" t="s">
        <v>783</v>
      </c>
      <c r="J5" s="624" t="s">
        <v>6</v>
      </c>
    </row>
    <row r="6" spans="1:15" ht="43.5" customHeight="1">
      <c r="A6" s="624"/>
      <c r="B6" s="624"/>
      <c r="C6" s="624"/>
      <c r="D6" s="624"/>
      <c r="E6" s="624"/>
      <c r="F6" s="624"/>
      <c r="G6" s="624"/>
      <c r="H6" s="624"/>
      <c r="I6" s="625"/>
      <c r="J6" s="624"/>
    </row>
    <row r="7" spans="1:15" ht="30.75" customHeight="1">
      <c r="A7" s="624"/>
      <c r="B7" s="624"/>
      <c r="C7" s="624"/>
      <c r="D7" s="624"/>
      <c r="E7" s="624"/>
      <c r="F7" s="624"/>
      <c r="G7" s="624"/>
      <c r="H7" s="624"/>
      <c r="I7" s="625"/>
      <c r="J7" s="624"/>
    </row>
    <row r="8" spans="1:15" ht="39.9" customHeight="1">
      <c r="A8" s="257" t="s">
        <v>14</v>
      </c>
      <c r="B8" s="258" t="s">
        <v>56</v>
      </c>
      <c r="C8" s="184"/>
      <c r="D8" s="184"/>
      <c r="E8" s="184"/>
      <c r="F8" s="184"/>
      <c r="G8" s="184"/>
      <c r="H8" s="184"/>
      <c r="I8" s="259"/>
      <c r="J8" s="184"/>
    </row>
    <row r="9" spans="1:15" s="98" customFormat="1" ht="153.75" customHeight="1">
      <c r="A9" s="137">
        <v>1</v>
      </c>
      <c r="B9" s="117" t="s">
        <v>535</v>
      </c>
      <c r="C9" s="113" t="s">
        <v>536</v>
      </c>
      <c r="D9" s="71" t="s">
        <v>21</v>
      </c>
      <c r="E9" s="70" t="s">
        <v>537</v>
      </c>
      <c r="F9" s="70" t="s">
        <v>473</v>
      </c>
      <c r="G9" s="70" t="s">
        <v>784</v>
      </c>
      <c r="H9" s="70" t="s">
        <v>538</v>
      </c>
      <c r="I9" s="23"/>
      <c r="J9" s="205" t="s">
        <v>785</v>
      </c>
    </row>
    <row r="10" spans="1:15" s="98" customFormat="1" ht="96.75" customHeight="1">
      <c r="A10" s="137">
        <v>2</v>
      </c>
      <c r="B10" s="117" t="s">
        <v>786</v>
      </c>
      <c r="C10" s="113" t="s">
        <v>787</v>
      </c>
      <c r="D10" s="71" t="s">
        <v>21</v>
      </c>
      <c r="E10" s="70" t="s">
        <v>788</v>
      </c>
      <c r="F10" s="70" t="s">
        <v>789</v>
      </c>
      <c r="G10" s="70" t="s">
        <v>790</v>
      </c>
      <c r="H10" s="70" t="s">
        <v>791</v>
      </c>
      <c r="I10" s="23"/>
      <c r="J10" s="205" t="s">
        <v>792</v>
      </c>
    </row>
    <row r="11" spans="1:15" s="98" customFormat="1" ht="99.75" customHeight="1">
      <c r="A11" s="137">
        <v>3</v>
      </c>
      <c r="B11" s="117" t="s">
        <v>793</v>
      </c>
      <c r="C11" s="113" t="s">
        <v>17</v>
      </c>
      <c r="D11" s="71" t="s">
        <v>21</v>
      </c>
      <c r="E11" s="70" t="s">
        <v>794</v>
      </c>
      <c r="F11" s="70" t="s">
        <v>212</v>
      </c>
      <c r="G11" s="70" t="s">
        <v>790</v>
      </c>
      <c r="H11" s="70" t="s">
        <v>795</v>
      </c>
      <c r="I11" s="23"/>
      <c r="J11" s="205" t="s">
        <v>796</v>
      </c>
    </row>
    <row r="12" spans="1:15" ht="39.9" customHeight="1">
      <c r="A12" s="257" t="s">
        <v>34</v>
      </c>
      <c r="B12" s="258" t="s">
        <v>798</v>
      </c>
      <c r="C12" s="184"/>
      <c r="D12" s="184"/>
      <c r="E12" s="184"/>
      <c r="F12" s="184"/>
      <c r="G12" s="184"/>
      <c r="H12" s="184"/>
      <c r="I12" s="259">
        <f>SUM(I13:I13)</f>
        <v>50000</v>
      </c>
      <c r="J12" s="184"/>
    </row>
    <row r="13" spans="1:15" s="98" customFormat="1" ht="144" customHeight="1">
      <c r="A13" s="137">
        <v>1</v>
      </c>
      <c r="B13" s="117" t="s">
        <v>470</v>
      </c>
      <c r="C13" s="260" t="s">
        <v>471</v>
      </c>
      <c r="D13" s="236" t="s">
        <v>21</v>
      </c>
      <c r="E13" s="261" t="s">
        <v>472</v>
      </c>
      <c r="F13" s="70" t="s">
        <v>473</v>
      </c>
      <c r="G13" s="137" t="s">
        <v>801</v>
      </c>
      <c r="H13" s="261" t="s">
        <v>604</v>
      </c>
      <c r="I13" s="23">
        <v>50000</v>
      </c>
      <c r="J13" s="205" t="s">
        <v>800</v>
      </c>
    </row>
    <row r="14" spans="1:15" s="98" customFormat="1" ht="118.5" customHeight="1">
      <c r="A14" s="137">
        <v>2</v>
      </c>
      <c r="B14" s="117" t="s">
        <v>201</v>
      </c>
      <c r="C14" s="137" t="s">
        <v>17</v>
      </c>
      <c r="D14" s="71" t="s">
        <v>21</v>
      </c>
      <c r="E14" s="262" t="s">
        <v>802</v>
      </c>
      <c r="F14" s="137" t="s">
        <v>203</v>
      </c>
      <c r="G14" s="137" t="s">
        <v>803</v>
      </c>
      <c r="H14" s="137" t="s">
        <v>874</v>
      </c>
      <c r="I14" s="23"/>
      <c r="J14" s="205" t="s">
        <v>804</v>
      </c>
    </row>
    <row r="15" spans="1:15" s="98" customFormat="1" ht="149.25" customHeight="1">
      <c r="A15" s="137">
        <v>3</v>
      </c>
      <c r="B15" s="117" t="s">
        <v>206</v>
      </c>
      <c r="C15" s="188" t="s">
        <v>207</v>
      </c>
      <c r="D15" s="71" t="s">
        <v>21</v>
      </c>
      <c r="E15" s="67" t="s">
        <v>208</v>
      </c>
      <c r="F15" s="67" t="s">
        <v>202</v>
      </c>
      <c r="G15" s="70" t="s">
        <v>784</v>
      </c>
      <c r="H15" s="70" t="s">
        <v>605</v>
      </c>
      <c r="I15" s="23"/>
      <c r="J15" s="205" t="s">
        <v>797</v>
      </c>
    </row>
    <row r="16" spans="1:15" s="98" customFormat="1" ht="154.5" customHeight="1">
      <c r="A16" s="137">
        <v>4</v>
      </c>
      <c r="B16" s="117" t="s">
        <v>468</v>
      </c>
      <c r="C16" s="113" t="s">
        <v>17</v>
      </c>
      <c r="D16" s="71" t="s">
        <v>21</v>
      </c>
      <c r="E16" s="70" t="s">
        <v>469</v>
      </c>
      <c r="F16" s="70" t="s">
        <v>799</v>
      </c>
      <c r="G16" s="137" t="s">
        <v>801</v>
      </c>
      <c r="H16" s="70" t="s">
        <v>805</v>
      </c>
      <c r="I16" s="23"/>
      <c r="J16" s="205" t="s">
        <v>806</v>
      </c>
    </row>
    <row r="17" spans="1:10" s="98" customFormat="1" ht="153" customHeight="1">
      <c r="A17" s="137">
        <v>5</v>
      </c>
      <c r="B17" s="117" t="s">
        <v>426</v>
      </c>
      <c r="C17" s="137" t="s">
        <v>807</v>
      </c>
      <c r="D17" s="71" t="s">
        <v>21</v>
      </c>
      <c r="E17" s="262" t="s">
        <v>427</v>
      </c>
      <c r="F17" s="137" t="s">
        <v>202</v>
      </c>
      <c r="G17" s="137" t="s">
        <v>801</v>
      </c>
      <c r="H17" s="137" t="s">
        <v>428</v>
      </c>
      <c r="I17" s="23"/>
      <c r="J17" s="205" t="s">
        <v>808</v>
      </c>
    </row>
    <row r="18" spans="1:10" ht="39.9" customHeight="1">
      <c r="A18" s="257" t="s">
        <v>81</v>
      </c>
      <c r="B18" s="258" t="s">
        <v>860</v>
      </c>
      <c r="C18" s="184"/>
      <c r="D18" s="184"/>
      <c r="E18" s="184"/>
      <c r="F18" s="184"/>
      <c r="G18" s="184"/>
      <c r="H18" s="184"/>
      <c r="I18" s="259"/>
      <c r="J18" s="184"/>
    </row>
    <row r="19" spans="1:10" s="98" customFormat="1" ht="115.5" customHeight="1">
      <c r="A19" s="137">
        <v>1</v>
      </c>
      <c r="B19" s="117" t="s">
        <v>380</v>
      </c>
      <c r="C19" s="137" t="s">
        <v>243</v>
      </c>
      <c r="D19" s="71" t="s">
        <v>19</v>
      </c>
      <c r="E19" s="262" t="s">
        <v>246</v>
      </c>
      <c r="F19" s="137" t="s">
        <v>101</v>
      </c>
      <c r="G19" s="137" t="s">
        <v>861</v>
      </c>
      <c r="H19" s="137" t="s">
        <v>876</v>
      </c>
      <c r="I19" s="23"/>
      <c r="J19" s="205" t="s">
        <v>862</v>
      </c>
    </row>
    <row r="20" spans="1:10" s="98" customFormat="1" ht="115.5" customHeight="1">
      <c r="A20" s="137">
        <v>2</v>
      </c>
      <c r="B20" s="3" t="s">
        <v>852</v>
      </c>
      <c r="C20" s="67" t="s">
        <v>853</v>
      </c>
      <c r="D20" s="59" t="s">
        <v>19</v>
      </c>
      <c r="E20" s="67" t="s">
        <v>854</v>
      </c>
      <c r="F20" s="67" t="s">
        <v>39</v>
      </c>
      <c r="G20" s="137" t="s">
        <v>861</v>
      </c>
      <c r="H20" s="137" t="s">
        <v>855</v>
      </c>
      <c r="I20" s="23"/>
      <c r="J20" s="205" t="s">
        <v>866</v>
      </c>
    </row>
    <row r="21" spans="1:10" ht="39.9" customHeight="1">
      <c r="A21" s="257" t="s">
        <v>194</v>
      </c>
      <c r="B21" s="258" t="s">
        <v>57</v>
      </c>
      <c r="C21" s="184"/>
      <c r="D21" s="184"/>
      <c r="E21" s="184"/>
      <c r="F21" s="184"/>
      <c r="G21" s="184"/>
      <c r="H21" s="184"/>
      <c r="I21" s="259"/>
      <c r="J21" s="184"/>
    </row>
    <row r="22" spans="1:10" s="98" customFormat="1" ht="80.25" customHeight="1">
      <c r="A22" s="137">
        <v>1</v>
      </c>
      <c r="B22" s="66" t="s">
        <v>485</v>
      </c>
      <c r="C22" s="137" t="s">
        <v>52</v>
      </c>
      <c r="D22" s="71" t="s">
        <v>19</v>
      </c>
      <c r="E22" s="262" t="s">
        <v>486</v>
      </c>
      <c r="F22" s="137" t="s">
        <v>487</v>
      </c>
      <c r="G22" s="137" t="s">
        <v>803</v>
      </c>
      <c r="H22" s="137" t="s">
        <v>875</v>
      </c>
      <c r="I22" s="23"/>
      <c r="J22" s="205" t="s">
        <v>863</v>
      </c>
    </row>
    <row r="23" spans="1:10" s="98" customFormat="1" ht="80.25" customHeight="1">
      <c r="A23" s="137">
        <v>2</v>
      </c>
      <c r="B23" s="66" t="s">
        <v>519</v>
      </c>
      <c r="C23" s="137" t="s">
        <v>520</v>
      </c>
      <c r="D23" s="71" t="s">
        <v>21</v>
      </c>
      <c r="E23" s="262" t="s">
        <v>870</v>
      </c>
      <c r="F23" s="137" t="s">
        <v>39</v>
      </c>
      <c r="G23" s="137" t="s">
        <v>864</v>
      </c>
      <c r="H23" s="137" t="s">
        <v>522</v>
      </c>
      <c r="I23" s="23"/>
      <c r="J23" s="205" t="s">
        <v>865</v>
      </c>
    </row>
    <row r="24" spans="1:10" s="98" customFormat="1" ht="55.5" customHeight="1">
      <c r="A24" s="137">
        <v>3</v>
      </c>
      <c r="B24" s="66" t="s">
        <v>489</v>
      </c>
      <c r="C24" s="137" t="s">
        <v>48</v>
      </c>
      <c r="D24" s="71" t="s">
        <v>21</v>
      </c>
      <c r="E24" s="262" t="s">
        <v>871</v>
      </c>
      <c r="F24" s="137" t="s">
        <v>39</v>
      </c>
      <c r="G24" s="137" t="s">
        <v>864</v>
      </c>
      <c r="H24" s="137" t="s">
        <v>643</v>
      </c>
      <c r="I24" s="23"/>
      <c r="J24" s="205" t="s">
        <v>866</v>
      </c>
    </row>
    <row r="25" spans="1:10" s="98" customFormat="1" ht="63.75" customHeight="1">
      <c r="A25" s="137">
        <v>4</v>
      </c>
      <c r="B25" s="66" t="s">
        <v>491</v>
      </c>
      <c r="C25" s="137" t="s">
        <v>48</v>
      </c>
      <c r="D25" s="71" t="s">
        <v>21</v>
      </c>
      <c r="E25" s="262" t="s">
        <v>872</v>
      </c>
      <c r="F25" s="137" t="s">
        <v>39</v>
      </c>
      <c r="G25" s="137" t="s">
        <v>864</v>
      </c>
      <c r="H25" s="137" t="s">
        <v>644</v>
      </c>
      <c r="I25" s="23"/>
      <c r="J25" s="205" t="s">
        <v>866</v>
      </c>
    </row>
    <row r="26" spans="1:10" s="98" customFormat="1" ht="69" customHeight="1">
      <c r="A26" s="137">
        <v>5</v>
      </c>
      <c r="B26" s="66" t="s">
        <v>660</v>
      </c>
      <c r="C26" s="137" t="s">
        <v>567</v>
      </c>
      <c r="D26" s="71" t="s">
        <v>21</v>
      </c>
      <c r="E26" s="262" t="s">
        <v>661</v>
      </c>
      <c r="F26" s="137" t="s">
        <v>39</v>
      </c>
      <c r="G26" s="137" t="s">
        <v>864</v>
      </c>
      <c r="H26" s="137" t="s">
        <v>662</v>
      </c>
      <c r="I26" s="23"/>
      <c r="J26" s="205" t="s">
        <v>867</v>
      </c>
    </row>
    <row r="27" spans="1:10" s="98" customFormat="1" ht="60" customHeight="1">
      <c r="A27" s="137">
        <v>6</v>
      </c>
      <c r="B27" s="66" t="s">
        <v>31</v>
      </c>
      <c r="C27" s="137" t="s">
        <v>17</v>
      </c>
      <c r="D27" s="71" t="s">
        <v>19</v>
      </c>
      <c r="E27" s="262" t="s">
        <v>32</v>
      </c>
      <c r="F27" s="137" t="s">
        <v>868</v>
      </c>
      <c r="G27" s="137" t="s">
        <v>790</v>
      </c>
      <c r="H27" s="137" t="s">
        <v>33</v>
      </c>
      <c r="I27" s="23"/>
      <c r="J27" s="205" t="s">
        <v>869</v>
      </c>
    </row>
    <row r="28" spans="1:10" ht="39.9" customHeight="1">
      <c r="A28" s="257" t="s">
        <v>196</v>
      </c>
      <c r="B28" s="258" t="s">
        <v>877</v>
      </c>
      <c r="C28" s="184"/>
      <c r="D28" s="184"/>
      <c r="E28" s="184"/>
      <c r="F28" s="184"/>
      <c r="G28" s="184"/>
      <c r="H28" s="184"/>
      <c r="I28" s="259"/>
      <c r="J28" s="184"/>
    </row>
    <row r="29" spans="1:10" s="98" customFormat="1" ht="69" customHeight="1">
      <c r="A29" s="137">
        <v>1</v>
      </c>
      <c r="B29" s="66" t="s">
        <v>239</v>
      </c>
      <c r="C29" s="137" t="s">
        <v>237</v>
      </c>
      <c r="D29" s="71" t="s">
        <v>19</v>
      </c>
      <c r="E29" s="262" t="s">
        <v>238</v>
      </c>
      <c r="F29" s="137" t="s">
        <v>101</v>
      </c>
      <c r="G29" s="137" t="s">
        <v>861</v>
      </c>
      <c r="H29" s="137" t="s">
        <v>621</v>
      </c>
      <c r="I29" s="23"/>
      <c r="J29" s="205" t="s">
        <v>873</v>
      </c>
    </row>
    <row r="31" spans="1:10" ht="39.75" customHeight="1">
      <c r="A31" s="626" t="s">
        <v>809</v>
      </c>
      <c r="B31" s="627"/>
      <c r="C31" s="627"/>
      <c r="D31" s="627"/>
      <c r="E31" s="627"/>
      <c r="F31" s="627"/>
      <c r="G31" s="627"/>
      <c r="H31" s="627"/>
      <c r="I31" s="627"/>
      <c r="J31" s="627"/>
    </row>
  </sheetData>
  <mergeCells count="14">
    <mergeCell ref="H5:H7"/>
    <mergeCell ref="I5:I7"/>
    <mergeCell ref="J5:J7"/>
    <mergeCell ref="A31:J31"/>
    <mergeCell ref="A1:J1"/>
    <mergeCell ref="A2:J2"/>
    <mergeCell ref="A3:J3"/>
    <mergeCell ref="A5:A7"/>
    <mergeCell ref="B5:B7"/>
    <mergeCell ref="C5:C7"/>
    <mergeCell ref="D5:D7"/>
    <mergeCell ref="E5:E7"/>
    <mergeCell ref="F5:F7"/>
    <mergeCell ref="G5:G7"/>
  </mergeCells>
  <printOptions horizontalCentered="1"/>
  <pageMargins left="0.39370078740157483" right="0" top="0.39370078740157483" bottom="0.39370078740157483" header="0.19685039370078741" footer="0.19685039370078741"/>
  <pageSetup paperSize="9" scale="63" fitToHeight="0" orientation="landscape" r:id="rId1"/>
  <headerFooter>
    <oddFooter>&amp;C&amp;P/&amp;N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view="pageBreakPreview" zoomScale="60" zoomScaleNormal="85" workbookViewId="0">
      <selection activeCell="E9" sqref="E9"/>
    </sheetView>
  </sheetViews>
  <sheetFormatPr defaultColWidth="9.109375" defaultRowHeight="13.2"/>
  <cols>
    <col min="1" max="1" width="9.109375" style="454"/>
    <col min="2" max="2" width="50.88671875" style="454" customWidth="1"/>
    <col min="3" max="6" width="20.6640625" style="461" customWidth="1"/>
    <col min="7" max="8" width="30.6640625" style="454" customWidth="1"/>
    <col min="9" max="9" width="26.6640625" style="454" customWidth="1"/>
    <col min="10" max="10" width="13.88671875" style="454" customWidth="1"/>
    <col min="11" max="11" width="48" style="454" customWidth="1"/>
    <col min="12" max="16384" width="9.109375" style="454"/>
  </cols>
  <sheetData>
    <row r="1" spans="1:11" ht="46.5" customHeight="1">
      <c r="A1" s="631" t="s">
        <v>990</v>
      </c>
      <c r="B1" s="631"/>
      <c r="C1" s="631"/>
      <c r="D1" s="631"/>
      <c r="E1" s="631"/>
      <c r="F1" s="631"/>
      <c r="G1" s="631"/>
      <c r="H1" s="453"/>
      <c r="J1" s="453"/>
      <c r="K1" s="455"/>
    </row>
    <row r="2" spans="1:11" ht="68.25" customHeight="1">
      <c r="A2" s="632" t="s">
        <v>991</v>
      </c>
      <c r="B2" s="632"/>
      <c r="C2" s="632"/>
      <c r="D2" s="632"/>
      <c r="E2" s="632"/>
      <c r="F2" s="632"/>
      <c r="G2" s="632"/>
      <c r="H2" s="456"/>
      <c r="J2" s="456"/>
      <c r="K2" s="457"/>
    </row>
    <row r="3" spans="1:11" ht="46.5" customHeight="1">
      <c r="A3" s="633" t="str">
        <f>'16. DA ĐB'!A3:J3</f>
        <v>(Ban hành kèm theo Quyết định số: 2631/QĐ-UBND ngày 19/12 /2024 của Ủy ban nhân dân tỉnh)</v>
      </c>
      <c r="B3" s="633"/>
      <c r="C3" s="633"/>
      <c r="D3" s="633"/>
      <c r="E3" s="633"/>
      <c r="F3" s="633"/>
      <c r="G3" s="633"/>
      <c r="H3" s="458"/>
      <c r="J3" s="459"/>
      <c r="K3" s="460"/>
    </row>
    <row r="4" spans="1:11" ht="21.75" customHeight="1">
      <c r="K4" s="462"/>
    </row>
    <row r="5" spans="1:11" ht="82.5" customHeight="1">
      <c r="A5" s="463" t="s">
        <v>1</v>
      </c>
      <c r="B5" s="463" t="s">
        <v>2</v>
      </c>
      <c r="C5" s="463" t="s">
        <v>3</v>
      </c>
      <c r="D5" s="463" t="s">
        <v>321</v>
      </c>
      <c r="E5" s="463" t="s">
        <v>4</v>
      </c>
      <c r="F5" s="463" t="s">
        <v>5</v>
      </c>
      <c r="G5" s="463" t="s">
        <v>6</v>
      </c>
      <c r="H5" s="464"/>
      <c r="I5" s="463" t="s">
        <v>992</v>
      </c>
      <c r="J5" s="464"/>
      <c r="K5" s="463" t="s">
        <v>993</v>
      </c>
    </row>
    <row r="6" spans="1:11" ht="49.5" customHeight="1">
      <c r="A6" s="463"/>
      <c r="B6" s="465" t="s">
        <v>994</v>
      </c>
      <c r="C6" s="463"/>
      <c r="D6" s="463"/>
      <c r="E6" s="463"/>
      <c r="F6" s="463"/>
      <c r="G6" s="466"/>
      <c r="H6" s="467"/>
      <c r="I6" s="466"/>
      <c r="J6" s="467"/>
      <c r="K6" s="463"/>
    </row>
    <row r="7" spans="1:11" ht="52.5" customHeight="1">
      <c r="A7" s="7">
        <v>1</v>
      </c>
      <c r="B7" s="69" t="s">
        <v>982</v>
      </c>
      <c r="C7" s="67" t="s">
        <v>983</v>
      </c>
      <c r="D7" s="71" t="s">
        <v>21</v>
      </c>
      <c r="E7" s="67" t="s">
        <v>984</v>
      </c>
      <c r="F7" s="67" t="s">
        <v>985</v>
      </c>
      <c r="G7" s="634" t="s">
        <v>995</v>
      </c>
      <c r="H7" s="468"/>
      <c r="I7" s="469">
        <v>20000</v>
      </c>
      <c r="J7" s="468"/>
      <c r="K7" s="69"/>
    </row>
    <row r="8" spans="1:11" ht="56.25" customHeight="1">
      <c r="A8" s="7">
        <v>2</v>
      </c>
      <c r="B8" s="69" t="s">
        <v>986</v>
      </c>
      <c r="C8" s="470" t="s">
        <v>987</v>
      </c>
      <c r="D8" s="470" t="s">
        <v>77</v>
      </c>
      <c r="E8" s="470" t="s">
        <v>988</v>
      </c>
      <c r="F8" s="470" t="s">
        <v>985</v>
      </c>
      <c r="G8" s="634"/>
      <c r="H8" s="468"/>
      <c r="I8" s="469">
        <v>281000</v>
      </c>
      <c r="J8" s="468"/>
      <c r="K8" s="69"/>
    </row>
    <row r="9" spans="1:11" ht="56.25" customHeight="1">
      <c r="A9" s="7">
        <v>3</v>
      </c>
      <c r="B9" s="335" t="s">
        <v>234</v>
      </c>
      <c r="C9" s="281" t="s">
        <v>52</v>
      </c>
      <c r="D9" s="337" t="s">
        <v>21</v>
      </c>
      <c r="E9" s="281" t="s">
        <v>44</v>
      </c>
      <c r="F9" s="281" t="s">
        <v>39</v>
      </c>
      <c r="G9" s="634"/>
      <c r="H9" s="468"/>
      <c r="I9" s="469">
        <v>65000</v>
      </c>
      <c r="J9" s="468"/>
      <c r="K9" s="523"/>
    </row>
    <row r="10" spans="1:11" ht="12.75" customHeight="1"/>
  </sheetData>
  <mergeCells count="4">
    <mergeCell ref="A1:G1"/>
    <mergeCell ref="A2:G2"/>
    <mergeCell ref="A3:G3"/>
    <mergeCell ref="G7:G9"/>
  </mergeCells>
  <printOptions horizontalCentered="1"/>
  <pageMargins left="0.39370078740157483" right="0.39370078740157483" top="0.39370078740157483" bottom="0.39370078740157483" header="0.19685039370078741" footer="0.19685039370078741"/>
  <pageSetup paperSize="9" scale="81" fitToHeight="0" orientation="landscape" verticalDpi="0" r:id="rId1"/>
  <headerFooter>
    <oddFooter>&amp;C&amp;P/&amp;N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0000"/>
    <pageSetUpPr fitToPage="1"/>
  </sheetPr>
  <dimension ref="A1:AH48"/>
  <sheetViews>
    <sheetView view="pageBreakPreview" zoomScale="70" zoomScaleNormal="60" zoomScaleSheetLayoutView="70" workbookViewId="0">
      <selection activeCell="G53" sqref="G53"/>
    </sheetView>
  </sheetViews>
  <sheetFormatPr defaultColWidth="9.109375" defaultRowHeight="16.8"/>
  <cols>
    <col min="1" max="1" width="8.44140625" style="8" customWidth="1"/>
    <col min="2" max="2" width="50.6640625" style="8" customWidth="1"/>
    <col min="3" max="3" width="20.6640625" style="8" customWidth="1"/>
    <col min="4" max="4" width="20.6640625" style="17" customWidth="1"/>
    <col min="5" max="6" width="20.6640625" style="8" customWidth="1"/>
    <col min="7" max="7" width="22.6640625" style="8" customWidth="1"/>
    <col min="8" max="10" width="20.6640625" style="8" customWidth="1"/>
    <col min="11" max="11" width="20.6640625" style="8" hidden="1" customWidth="1"/>
    <col min="12" max="12" width="20.6640625" style="8" customWidth="1"/>
    <col min="13" max="13" width="30.6640625" style="8" customWidth="1"/>
    <col min="14" max="14" width="19.109375" style="8" customWidth="1"/>
    <col min="15" max="15" width="14.88671875" style="17" customWidth="1"/>
    <col min="16" max="16" width="13.44140625" style="17" customWidth="1"/>
    <col min="17" max="17" width="17.88671875" style="8" customWidth="1"/>
    <col min="18" max="18" width="19.33203125" style="8" customWidth="1"/>
    <col min="19" max="19" width="17.33203125" style="8" customWidth="1"/>
    <col min="20" max="34" width="15" style="8" customWidth="1"/>
    <col min="35" max="16384" width="9.109375" style="8"/>
  </cols>
  <sheetData>
    <row r="1" spans="1:34" ht="39.9" customHeight="1">
      <c r="A1" s="567" t="s">
        <v>683</v>
      </c>
      <c r="B1" s="567"/>
      <c r="C1" s="567"/>
      <c r="D1" s="567"/>
      <c r="E1" s="567"/>
      <c r="F1" s="567"/>
      <c r="G1" s="567"/>
      <c r="H1" s="567"/>
      <c r="I1" s="567"/>
      <c r="J1" s="567"/>
      <c r="K1" s="567"/>
      <c r="L1" s="567"/>
      <c r="M1" s="567"/>
    </row>
    <row r="2" spans="1:34" s="84" customFormat="1" ht="35.1" customHeight="1">
      <c r="A2" s="568" t="s">
        <v>726</v>
      </c>
      <c r="B2" s="568"/>
      <c r="C2" s="568"/>
      <c r="D2" s="568"/>
      <c r="E2" s="568"/>
      <c r="F2" s="568"/>
      <c r="G2" s="568"/>
      <c r="H2" s="568"/>
      <c r="I2" s="568"/>
      <c r="J2" s="568"/>
      <c r="K2" s="568"/>
      <c r="L2" s="568"/>
      <c r="M2" s="568"/>
      <c r="O2" s="85"/>
      <c r="P2" s="85"/>
    </row>
    <row r="3" spans="1:34" s="84" customFormat="1" ht="35.1" customHeight="1">
      <c r="A3" s="568" t="s">
        <v>778</v>
      </c>
      <c r="B3" s="568"/>
      <c r="C3" s="568"/>
      <c r="D3" s="568"/>
      <c r="E3" s="568"/>
      <c r="F3" s="568"/>
      <c r="G3" s="568"/>
      <c r="H3" s="568"/>
      <c r="I3" s="568"/>
      <c r="J3" s="568"/>
      <c r="K3" s="568"/>
      <c r="L3" s="568"/>
      <c r="M3" s="568"/>
      <c r="O3" s="85"/>
      <c r="P3" s="85"/>
    </row>
    <row r="4" spans="1:34" ht="39.9" customHeight="1">
      <c r="A4" s="569" t="str">
        <f>'13. VTPCP'!A4:N4</f>
        <v>(Ban hành kèm theo Quyết định số: 2631/QĐ-UBND ngày 19/12 /2024 của Ủy ban nhân dân tỉnh)</v>
      </c>
      <c r="B4" s="569"/>
      <c r="C4" s="569"/>
      <c r="D4" s="569"/>
      <c r="E4" s="569"/>
      <c r="F4" s="569"/>
      <c r="G4" s="569"/>
      <c r="H4" s="569"/>
      <c r="I4" s="569"/>
      <c r="J4" s="569"/>
      <c r="K4" s="569"/>
      <c r="L4" s="569"/>
      <c r="M4" s="569"/>
    </row>
    <row r="5" spans="1:34" ht="33.75" customHeight="1">
      <c r="J5" s="9"/>
      <c r="K5" s="9"/>
      <c r="L5" s="9"/>
      <c r="M5" s="9" t="s">
        <v>0</v>
      </c>
    </row>
    <row r="6" spans="1:34" s="88" customFormat="1" ht="38.25" customHeight="1">
      <c r="A6" s="610" t="s">
        <v>1</v>
      </c>
      <c r="B6" s="603" t="s">
        <v>320</v>
      </c>
      <c r="C6" s="610" t="s">
        <v>3</v>
      </c>
      <c r="D6" s="610" t="s">
        <v>321</v>
      </c>
      <c r="E6" s="614" t="s">
        <v>4</v>
      </c>
      <c r="F6" s="614" t="s">
        <v>5</v>
      </c>
      <c r="G6" s="614" t="s">
        <v>118</v>
      </c>
      <c r="H6" s="614"/>
      <c r="I6" s="614"/>
      <c r="J6" s="621" t="s">
        <v>119</v>
      </c>
      <c r="K6" s="621" t="s">
        <v>682</v>
      </c>
      <c r="L6" s="621" t="s">
        <v>678</v>
      </c>
      <c r="M6" s="610" t="s">
        <v>6</v>
      </c>
      <c r="N6" s="86"/>
      <c r="O6" s="87"/>
      <c r="P6" s="87"/>
    </row>
    <row r="7" spans="1:34" s="88" customFormat="1" ht="38.25" customHeight="1">
      <c r="A7" s="611"/>
      <c r="B7" s="603"/>
      <c r="C7" s="611"/>
      <c r="D7" s="611"/>
      <c r="E7" s="614"/>
      <c r="F7" s="614"/>
      <c r="G7" s="614" t="s">
        <v>7</v>
      </c>
      <c r="H7" s="614" t="s">
        <v>8</v>
      </c>
      <c r="I7" s="614"/>
      <c r="J7" s="622"/>
      <c r="K7" s="622"/>
      <c r="L7" s="622"/>
      <c r="M7" s="611"/>
      <c r="N7" s="86"/>
      <c r="O7" s="89" t="s">
        <v>269</v>
      </c>
      <c r="P7" s="89" t="s">
        <v>270</v>
      </c>
      <c r="Q7" s="90" t="s">
        <v>271</v>
      </c>
      <c r="R7" s="91"/>
      <c r="S7" s="91" t="s">
        <v>272</v>
      </c>
      <c r="T7" s="92" t="s">
        <v>273</v>
      </c>
      <c r="U7" s="92" t="s">
        <v>291</v>
      </c>
      <c r="V7" s="92" t="s">
        <v>378</v>
      </c>
      <c r="W7" s="92" t="s">
        <v>276</v>
      </c>
      <c r="X7" s="92" t="s">
        <v>277</v>
      </c>
      <c r="Y7" s="92" t="s">
        <v>278</v>
      </c>
      <c r="Z7" s="92" t="s">
        <v>279</v>
      </c>
      <c r="AA7" s="92" t="s">
        <v>280</v>
      </c>
      <c r="AB7" s="92" t="s">
        <v>281</v>
      </c>
      <c r="AC7" s="92" t="s">
        <v>282</v>
      </c>
      <c r="AD7" s="92" t="s">
        <v>283</v>
      </c>
      <c r="AE7" s="92" t="s">
        <v>284</v>
      </c>
      <c r="AF7" s="92" t="s">
        <v>285</v>
      </c>
      <c r="AG7" s="92" t="s">
        <v>286</v>
      </c>
      <c r="AH7" s="91"/>
    </row>
    <row r="8" spans="1:34" s="88" customFormat="1" ht="60" customHeight="1">
      <c r="A8" s="611"/>
      <c r="B8" s="603"/>
      <c r="C8" s="611"/>
      <c r="D8" s="613"/>
      <c r="E8" s="614"/>
      <c r="F8" s="614"/>
      <c r="G8" s="614"/>
      <c r="H8" s="40" t="s">
        <v>58</v>
      </c>
      <c r="I8" s="40" t="s">
        <v>59</v>
      </c>
      <c r="J8" s="623"/>
      <c r="K8" s="623"/>
      <c r="L8" s="623"/>
      <c r="M8" s="611"/>
      <c r="N8" s="93"/>
      <c r="O8" s="89"/>
      <c r="P8" s="89"/>
      <c r="Q8" s="90"/>
      <c r="R8" s="94" t="s">
        <v>287</v>
      </c>
      <c r="S8" s="91">
        <f>COUNTIF(O9:O957,"CT")</f>
        <v>2</v>
      </c>
      <c r="T8" s="58" t="e">
        <f>SUMIF(O9:O957,"CT",Q9:Q957)</f>
        <v>#REF!</v>
      </c>
      <c r="U8" s="58" t="e">
        <f t="shared" ref="U8:AG8" si="0">SUMIFS($Q$9:$Q$1059,$O$9:$O$1059,"CT",$P$9:$P$1059,U7)</f>
        <v>#REF!</v>
      </c>
      <c r="V8" s="58">
        <f t="shared" si="0"/>
        <v>0</v>
      </c>
      <c r="W8" s="58">
        <f t="shared" si="0"/>
        <v>0</v>
      </c>
      <c r="X8" s="58">
        <f t="shared" si="0"/>
        <v>0</v>
      </c>
      <c r="Y8" s="58">
        <f t="shared" si="0"/>
        <v>0</v>
      </c>
      <c r="Z8" s="58">
        <f t="shared" si="0"/>
        <v>0</v>
      </c>
      <c r="AA8" s="58">
        <f t="shared" si="0"/>
        <v>0</v>
      </c>
      <c r="AB8" s="58">
        <f t="shared" si="0"/>
        <v>0</v>
      </c>
      <c r="AC8" s="58">
        <f t="shared" si="0"/>
        <v>0</v>
      </c>
      <c r="AD8" s="58">
        <f t="shared" si="0"/>
        <v>0</v>
      </c>
      <c r="AE8" s="58">
        <f t="shared" si="0"/>
        <v>0</v>
      </c>
      <c r="AF8" s="58">
        <f t="shared" si="0"/>
        <v>0</v>
      </c>
      <c r="AG8" s="58">
        <f t="shared" si="0"/>
        <v>0</v>
      </c>
      <c r="AH8" s="94" t="e">
        <f>SUM(U8:AG8)</f>
        <v>#REF!</v>
      </c>
    </row>
    <row r="9" spans="1:34" s="45" customFormat="1" ht="50.1" customHeight="1">
      <c r="A9" s="40"/>
      <c r="B9" s="95" t="s">
        <v>188</v>
      </c>
      <c r="C9" s="40"/>
      <c r="D9" s="40"/>
      <c r="E9" s="40"/>
      <c r="F9" s="40"/>
      <c r="G9" s="40"/>
      <c r="H9" s="42">
        <f>SUM(H10,H26)</f>
        <v>934900</v>
      </c>
      <c r="I9" s="42">
        <f t="shared" ref="I9" si="1">SUM(I10,I26)</f>
        <v>643541</v>
      </c>
      <c r="J9" s="42">
        <f>SUM(J10,J26)</f>
        <v>350841</v>
      </c>
      <c r="K9" s="42">
        <f>SUM(K10,K26)</f>
        <v>0</v>
      </c>
      <c r="L9" s="42">
        <f>SUM(L10,L26)</f>
        <v>350841</v>
      </c>
      <c r="M9" s="43"/>
      <c r="N9" s="44"/>
      <c r="O9" s="89"/>
      <c r="P9" s="89"/>
      <c r="Q9" s="90"/>
      <c r="R9" s="90" t="s">
        <v>288</v>
      </c>
      <c r="S9" s="90">
        <f>COUNTIF(O9:O956,"KCM")</f>
        <v>0</v>
      </c>
      <c r="T9" s="41">
        <f>SUMIF(O9:O956,"KCM",Q9:Q956)</f>
        <v>0</v>
      </c>
      <c r="U9" s="41">
        <f t="shared" ref="U9:AG9" si="2">SUMIFS($Q$9:$Q$1059,$O$9:$O$1059,"KCM",$P$9:$P$1059,U7)</f>
        <v>0</v>
      </c>
      <c r="V9" s="41">
        <f t="shared" si="2"/>
        <v>0</v>
      </c>
      <c r="W9" s="41">
        <f t="shared" si="2"/>
        <v>0</v>
      </c>
      <c r="X9" s="41">
        <f t="shared" si="2"/>
        <v>0</v>
      </c>
      <c r="Y9" s="41">
        <f t="shared" si="2"/>
        <v>0</v>
      </c>
      <c r="Z9" s="41">
        <f t="shared" si="2"/>
        <v>0</v>
      </c>
      <c r="AA9" s="41">
        <f t="shared" si="2"/>
        <v>0</v>
      </c>
      <c r="AB9" s="41">
        <f t="shared" si="2"/>
        <v>0</v>
      </c>
      <c r="AC9" s="41">
        <f t="shared" si="2"/>
        <v>0</v>
      </c>
      <c r="AD9" s="41">
        <f t="shared" si="2"/>
        <v>0</v>
      </c>
      <c r="AE9" s="41">
        <f t="shared" si="2"/>
        <v>0</v>
      </c>
      <c r="AF9" s="41">
        <f t="shared" si="2"/>
        <v>0</v>
      </c>
      <c r="AG9" s="41">
        <f t="shared" si="2"/>
        <v>0</v>
      </c>
      <c r="AH9" s="96">
        <f>SUM(U9:AG9)</f>
        <v>0</v>
      </c>
    </row>
    <row r="10" spans="1:34" s="13" customFormat="1" ht="50.1" customHeight="1">
      <c r="A10" s="165" t="s">
        <v>77</v>
      </c>
      <c r="B10" s="30" t="s">
        <v>524</v>
      </c>
      <c r="C10" s="165"/>
      <c r="D10" s="165"/>
      <c r="E10" s="165"/>
      <c r="F10" s="165"/>
      <c r="G10" s="165"/>
      <c r="H10" s="39">
        <f>SUM(H11,H17)</f>
        <v>67688</v>
      </c>
      <c r="I10" s="39">
        <f t="shared" ref="I10" si="3">SUM(I11,I17)</f>
        <v>60487</v>
      </c>
      <c r="J10" s="39">
        <f>SUM(J11,J17,J21)</f>
        <v>89187</v>
      </c>
      <c r="K10" s="39">
        <f>SUM(K11,K17,K21)</f>
        <v>0</v>
      </c>
      <c r="L10" s="39">
        <f>SUM(L11,L17,L21)</f>
        <v>89187</v>
      </c>
      <c r="M10" s="20"/>
      <c r="N10" s="138"/>
      <c r="O10" s="65"/>
      <c r="P10" s="65"/>
      <c r="R10" s="94"/>
      <c r="S10" s="196"/>
      <c r="T10" s="196"/>
      <c r="U10" s="196"/>
      <c r="V10" s="196"/>
      <c r="W10" s="196"/>
      <c r="X10" s="196"/>
      <c r="Y10" s="196"/>
      <c r="Z10" s="196"/>
      <c r="AA10" s="196"/>
      <c r="AB10" s="196"/>
      <c r="AC10" s="196"/>
      <c r="AD10" s="196"/>
      <c r="AE10" s="196"/>
      <c r="AF10" s="196"/>
      <c r="AG10" s="196"/>
      <c r="AH10" s="197"/>
    </row>
    <row r="11" spans="1:34" s="13" customFormat="1" ht="50.1" customHeight="1">
      <c r="A11" s="75" t="s">
        <v>14</v>
      </c>
      <c r="B11" s="19" t="s">
        <v>775</v>
      </c>
      <c r="C11" s="75"/>
      <c r="D11" s="75"/>
      <c r="E11" s="75"/>
      <c r="F11" s="75"/>
      <c r="G11" s="75"/>
      <c r="H11" s="5">
        <f>SUM(H12)</f>
        <v>38604</v>
      </c>
      <c r="I11" s="5">
        <f t="shared" ref="I11:L11" si="4">SUM(I12)</f>
        <v>32487</v>
      </c>
      <c r="J11" s="5">
        <f t="shared" si="4"/>
        <v>32487</v>
      </c>
      <c r="K11" s="5">
        <f t="shared" si="4"/>
        <v>0</v>
      </c>
      <c r="L11" s="5">
        <f t="shared" si="4"/>
        <v>32487</v>
      </c>
      <c r="M11" s="20">
        <f>32487-J11</f>
        <v>0</v>
      </c>
      <c r="O11" s="65"/>
      <c r="P11" s="65"/>
      <c r="R11" s="94"/>
      <c r="S11" s="196"/>
      <c r="T11" s="196"/>
      <c r="U11" s="196"/>
      <c r="V11" s="196"/>
      <c r="W11" s="196"/>
      <c r="X11" s="196"/>
      <c r="Y11" s="196"/>
      <c r="Z11" s="196"/>
      <c r="AA11" s="196"/>
      <c r="AB11" s="196"/>
      <c r="AC11" s="196"/>
      <c r="AD11" s="196"/>
      <c r="AE11" s="196"/>
      <c r="AF11" s="196"/>
      <c r="AG11" s="196"/>
      <c r="AH11" s="197"/>
    </row>
    <row r="12" spans="1:34" s="13" customFormat="1" ht="50.1" customHeight="1">
      <c r="A12" s="75" t="s">
        <v>525</v>
      </c>
      <c r="B12" s="19" t="s">
        <v>66</v>
      </c>
      <c r="C12" s="75"/>
      <c r="D12" s="75"/>
      <c r="E12" s="75"/>
      <c r="F12" s="75"/>
      <c r="G12" s="75"/>
      <c r="H12" s="5">
        <f>SUM(H13,H15)</f>
        <v>38604</v>
      </c>
      <c r="I12" s="5">
        <f t="shared" ref="I12:J12" si="5">SUM(I13,I15)</f>
        <v>32487</v>
      </c>
      <c r="J12" s="5">
        <f t="shared" si="5"/>
        <v>32487</v>
      </c>
      <c r="K12" s="5">
        <f t="shared" ref="K12:L12" si="6">SUM(K13,K15)</f>
        <v>0</v>
      </c>
      <c r="L12" s="5">
        <f t="shared" si="6"/>
        <v>32487</v>
      </c>
      <c r="M12" s="5"/>
      <c r="O12" s="65"/>
      <c r="P12" s="65"/>
      <c r="R12" s="94" t="s">
        <v>287</v>
      </c>
      <c r="S12" s="196">
        <f>SUM(U12:AG12)</f>
        <v>2</v>
      </c>
      <c r="T12" s="196"/>
      <c r="U12" s="196">
        <f t="shared" ref="U12:AG12" si="7">COUNTIFS($O$9:$O$957,"CT",$P$9:$P$957,U7)</f>
        <v>2</v>
      </c>
      <c r="V12" s="196">
        <f t="shared" si="7"/>
        <v>0</v>
      </c>
      <c r="W12" s="196">
        <f t="shared" si="7"/>
        <v>0</v>
      </c>
      <c r="X12" s="196">
        <f t="shared" si="7"/>
        <v>0</v>
      </c>
      <c r="Y12" s="196">
        <f t="shared" si="7"/>
        <v>0</v>
      </c>
      <c r="Z12" s="196">
        <f t="shared" si="7"/>
        <v>0</v>
      </c>
      <c r="AA12" s="196">
        <f t="shared" si="7"/>
        <v>0</v>
      </c>
      <c r="AB12" s="196">
        <f t="shared" si="7"/>
        <v>0</v>
      </c>
      <c r="AC12" s="196">
        <f t="shared" si="7"/>
        <v>0</v>
      </c>
      <c r="AD12" s="196">
        <f t="shared" si="7"/>
        <v>0</v>
      </c>
      <c r="AE12" s="196">
        <f t="shared" si="7"/>
        <v>0</v>
      </c>
      <c r="AF12" s="196">
        <f t="shared" si="7"/>
        <v>0</v>
      </c>
      <c r="AG12" s="196">
        <f t="shared" si="7"/>
        <v>0</v>
      </c>
      <c r="AH12" s="197"/>
    </row>
    <row r="13" spans="1:34" s="100" customFormat="1" ht="45" customHeight="1">
      <c r="A13" s="11" t="s">
        <v>16</v>
      </c>
      <c r="B13" s="12" t="s">
        <v>88</v>
      </c>
      <c r="C13" s="12"/>
      <c r="D13" s="11"/>
      <c r="E13" s="12"/>
      <c r="F13" s="12"/>
      <c r="G13" s="12"/>
      <c r="H13" s="21">
        <f>SUM(H14:H14)</f>
        <v>14922</v>
      </c>
      <c r="I13" s="21">
        <f t="shared" ref="I13:L13" si="8">SUM(I14:I14)</f>
        <v>10000</v>
      </c>
      <c r="J13" s="21">
        <f t="shared" si="8"/>
        <v>10000</v>
      </c>
      <c r="K13" s="21">
        <f t="shared" si="8"/>
        <v>0</v>
      </c>
      <c r="L13" s="21">
        <f t="shared" si="8"/>
        <v>10000</v>
      </c>
      <c r="M13" s="14"/>
      <c r="O13" s="101"/>
      <c r="P13" s="101"/>
      <c r="R13" s="91" t="s">
        <v>288</v>
      </c>
      <c r="S13" s="196">
        <f>SUM(U13:AG13)</f>
        <v>0</v>
      </c>
      <c r="T13" s="196"/>
      <c r="U13" s="196">
        <f t="shared" ref="U13:AG13" si="9">COUNTIFS($O$9:$O$957,"KCM",$P$9:$P$957,U2)</f>
        <v>0</v>
      </c>
      <c r="V13" s="196">
        <f t="shared" si="9"/>
        <v>0</v>
      </c>
      <c r="W13" s="196">
        <f t="shared" si="9"/>
        <v>0</v>
      </c>
      <c r="X13" s="196">
        <f t="shared" si="9"/>
        <v>0</v>
      </c>
      <c r="Y13" s="196">
        <f t="shared" si="9"/>
        <v>0</v>
      </c>
      <c r="Z13" s="196">
        <f t="shared" si="9"/>
        <v>0</v>
      </c>
      <c r="AA13" s="196">
        <f t="shared" si="9"/>
        <v>0</v>
      </c>
      <c r="AB13" s="196">
        <f t="shared" si="9"/>
        <v>0</v>
      </c>
      <c r="AC13" s="196">
        <f t="shared" si="9"/>
        <v>0</v>
      </c>
      <c r="AD13" s="196">
        <f t="shared" si="9"/>
        <v>0</v>
      </c>
      <c r="AE13" s="196">
        <f t="shared" si="9"/>
        <v>0</v>
      </c>
      <c r="AF13" s="196">
        <f t="shared" si="9"/>
        <v>0</v>
      </c>
      <c r="AG13" s="196">
        <f t="shared" si="9"/>
        <v>0</v>
      </c>
      <c r="AH13" s="196"/>
    </row>
    <row r="14" spans="1:34" ht="81.75" customHeight="1">
      <c r="A14" s="7">
        <v>1</v>
      </c>
      <c r="B14" s="66" t="s">
        <v>526</v>
      </c>
      <c r="C14" s="104" t="s">
        <v>48</v>
      </c>
      <c r="D14" s="59" t="s">
        <v>19</v>
      </c>
      <c r="E14" s="67" t="s">
        <v>527</v>
      </c>
      <c r="F14" s="67" t="s">
        <v>528</v>
      </c>
      <c r="G14" s="67" t="s">
        <v>529</v>
      </c>
      <c r="H14" s="26">
        <v>14922</v>
      </c>
      <c r="I14" s="26">
        <v>10000</v>
      </c>
      <c r="J14" s="26">
        <v>10000</v>
      </c>
      <c r="K14" s="26"/>
      <c r="L14" s="26">
        <f>J14</f>
        <v>10000</v>
      </c>
      <c r="M14" s="105" t="s">
        <v>530</v>
      </c>
      <c r="O14" s="106" t="s">
        <v>289</v>
      </c>
      <c r="P14" s="106" t="s">
        <v>291</v>
      </c>
      <c r="Q14" s="107" t="e">
        <f>#REF!</f>
        <v>#REF!</v>
      </c>
    </row>
    <row r="15" spans="1:34" s="100" customFormat="1" ht="45" customHeight="1">
      <c r="A15" s="11" t="s">
        <v>24</v>
      </c>
      <c r="B15" s="12" t="s">
        <v>531</v>
      </c>
      <c r="C15" s="12"/>
      <c r="D15" s="11"/>
      <c r="E15" s="12"/>
      <c r="F15" s="12"/>
      <c r="G15" s="12"/>
      <c r="H15" s="21">
        <f>SUM(H16:H16)</f>
        <v>23682</v>
      </c>
      <c r="I15" s="21">
        <f>SUM(I16:I16)</f>
        <v>22487</v>
      </c>
      <c r="J15" s="21">
        <f>SUM(J16:J16)</f>
        <v>22487</v>
      </c>
      <c r="K15" s="21">
        <f t="shared" ref="K15:L15" si="10">SUM(K16:K16)</f>
        <v>0</v>
      </c>
      <c r="L15" s="21">
        <f t="shared" si="10"/>
        <v>22487</v>
      </c>
      <c r="M15" s="14"/>
      <c r="O15" s="101"/>
      <c r="P15" s="101"/>
      <c r="R15" s="91" t="s">
        <v>288</v>
      </c>
      <c r="S15" s="196">
        <f>SUM(U15:AG15)</f>
        <v>0</v>
      </c>
      <c r="T15" s="196"/>
      <c r="U15" s="196">
        <f t="shared" ref="U15:AG15" si="11">COUNTIFS($O$9:$O$957,"KCM",$P$9:$P$957,U7)</f>
        <v>0</v>
      </c>
      <c r="V15" s="196">
        <f t="shared" si="11"/>
        <v>0</v>
      </c>
      <c r="W15" s="196">
        <f t="shared" si="11"/>
        <v>0</v>
      </c>
      <c r="X15" s="196">
        <f t="shared" si="11"/>
        <v>0</v>
      </c>
      <c r="Y15" s="196">
        <f t="shared" si="11"/>
        <v>0</v>
      </c>
      <c r="Z15" s="196">
        <f t="shared" si="11"/>
        <v>0</v>
      </c>
      <c r="AA15" s="196">
        <f t="shared" si="11"/>
        <v>0</v>
      </c>
      <c r="AB15" s="196">
        <f t="shared" si="11"/>
        <v>0</v>
      </c>
      <c r="AC15" s="196">
        <f t="shared" si="11"/>
        <v>0</v>
      </c>
      <c r="AD15" s="196">
        <f t="shared" si="11"/>
        <v>0</v>
      </c>
      <c r="AE15" s="196">
        <f t="shared" si="11"/>
        <v>0</v>
      </c>
      <c r="AF15" s="196">
        <f t="shared" si="11"/>
        <v>0</v>
      </c>
      <c r="AG15" s="196">
        <f t="shared" si="11"/>
        <v>0</v>
      </c>
      <c r="AH15" s="196"/>
    </row>
    <row r="16" spans="1:34" ht="60" customHeight="1">
      <c r="A16" s="7">
        <v>1</v>
      </c>
      <c r="B16" s="66" t="s">
        <v>532</v>
      </c>
      <c r="C16" s="104"/>
      <c r="D16" s="59" t="s">
        <v>19</v>
      </c>
      <c r="E16" s="67"/>
      <c r="F16" s="67" t="s">
        <v>528</v>
      </c>
      <c r="G16" s="67"/>
      <c r="H16" s="26">
        <v>23682</v>
      </c>
      <c r="I16" s="26">
        <v>22487</v>
      </c>
      <c r="J16" s="26">
        <v>22487</v>
      </c>
      <c r="K16" s="26"/>
      <c r="L16" s="26">
        <f>J16</f>
        <v>22487</v>
      </c>
      <c r="M16" s="105" t="s">
        <v>533</v>
      </c>
      <c r="O16" s="106" t="s">
        <v>289</v>
      </c>
      <c r="P16" s="106" t="s">
        <v>291</v>
      </c>
      <c r="Q16" s="107" t="e">
        <f>#REF!</f>
        <v>#REF!</v>
      </c>
    </row>
    <row r="17" spans="1:34" s="13" customFormat="1" ht="50.1" customHeight="1">
      <c r="A17" s="75" t="s">
        <v>34</v>
      </c>
      <c r="B17" s="19" t="s">
        <v>776</v>
      </c>
      <c r="C17" s="75"/>
      <c r="D17" s="75"/>
      <c r="E17" s="75"/>
      <c r="F17" s="75"/>
      <c r="G17" s="75"/>
      <c r="H17" s="5">
        <f>SUM(H18)</f>
        <v>29084</v>
      </c>
      <c r="I17" s="5">
        <f t="shared" ref="I17:L18" si="12">SUM(I18)</f>
        <v>28000</v>
      </c>
      <c r="J17" s="5">
        <f t="shared" si="12"/>
        <v>28000</v>
      </c>
      <c r="K17" s="5">
        <f t="shared" si="12"/>
        <v>0</v>
      </c>
      <c r="L17" s="5">
        <f t="shared" si="12"/>
        <v>28000</v>
      </c>
      <c r="M17" s="20">
        <f>28000-J17</f>
        <v>0</v>
      </c>
      <c r="O17" s="65"/>
      <c r="P17" s="65"/>
      <c r="R17" s="94"/>
      <c r="S17" s="196"/>
      <c r="T17" s="196"/>
      <c r="U17" s="196"/>
      <c r="V17" s="196"/>
      <c r="W17" s="196"/>
      <c r="X17" s="196"/>
      <c r="Y17" s="196"/>
      <c r="Z17" s="196"/>
      <c r="AA17" s="196"/>
      <c r="AB17" s="196"/>
      <c r="AC17" s="196"/>
      <c r="AD17" s="196"/>
      <c r="AE17" s="196"/>
      <c r="AF17" s="196"/>
      <c r="AG17" s="196"/>
      <c r="AH17" s="197"/>
    </row>
    <row r="18" spans="1:34" s="13" customFormat="1" ht="50.1" customHeight="1">
      <c r="A18" s="75" t="s">
        <v>295</v>
      </c>
      <c r="B18" s="19" t="s">
        <v>66</v>
      </c>
      <c r="C18" s="75"/>
      <c r="D18" s="75"/>
      <c r="E18" s="75"/>
      <c r="F18" s="75"/>
      <c r="G18" s="75"/>
      <c r="H18" s="5">
        <f>SUM(H19)</f>
        <v>29084</v>
      </c>
      <c r="I18" s="5">
        <f t="shared" si="12"/>
        <v>28000</v>
      </c>
      <c r="J18" s="5">
        <f t="shared" si="12"/>
        <v>28000</v>
      </c>
      <c r="K18" s="5">
        <f t="shared" si="12"/>
        <v>0</v>
      </c>
      <c r="L18" s="5">
        <f t="shared" si="12"/>
        <v>28000</v>
      </c>
      <c r="M18" s="20"/>
      <c r="O18" s="65"/>
      <c r="P18" s="65"/>
      <c r="R18" s="94" t="s">
        <v>287</v>
      </c>
      <c r="S18" s="196">
        <f>SUM(U18:AG18)</f>
        <v>0</v>
      </c>
      <c r="T18" s="196"/>
      <c r="U18" s="196">
        <f t="shared" ref="U18:AG18" si="13">COUNTIFS($O$9:$O$957,"CT",$P$9:$P$957,U12)</f>
        <v>0</v>
      </c>
      <c r="V18" s="196">
        <f t="shared" si="13"/>
        <v>0</v>
      </c>
      <c r="W18" s="196">
        <f t="shared" si="13"/>
        <v>0</v>
      </c>
      <c r="X18" s="196">
        <f t="shared" si="13"/>
        <v>0</v>
      </c>
      <c r="Y18" s="196">
        <f t="shared" si="13"/>
        <v>0</v>
      </c>
      <c r="Z18" s="196">
        <f t="shared" si="13"/>
        <v>0</v>
      </c>
      <c r="AA18" s="196">
        <f t="shared" si="13"/>
        <v>0</v>
      </c>
      <c r="AB18" s="196">
        <f t="shared" si="13"/>
        <v>0</v>
      </c>
      <c r="AC18" s="196">
        <f t="shared" si="13"/>
        <v>0</v>
      </c>
      <c r="AD18" s="196">
        <f t="shared" si="13"/>
        <v>0</v>
      </c>
      <c r="AE18" s="196">
        <f t="shared" si="13"/>
        <v>0</v>
      </c>
      <c r="AF18" s="196">
        <f t="shared" si="13"/>
        <v>0</v>
      </c>
      <c r="AG18" s="196">
        <f t="shared" si="13"/>
        <v>0</v>
      </c>
      <c r="AH18" s="197"/>
    </row>
    <row r="19" spans="1:34" s="100" customFormat="1" ht="45" customHeight="1">
      <c r="A19" s="11" t="s">
        <v>16</v>
      </c>
      <c r="B19" s="12" t="s">
        <v>531</v>
      </c>
      <c r="C19" s="12"/>
      <c r="D19" s="11"/>
      <c r="E19" s="12"/>
      <c r="F19" s="12"/>
      <c r="G19" s="12"/>
      <c r="H19" s="21">
        <f>SUM(H20:H20)</f>
        <v>29084</v>
      </c>
      <c r="I19" s="21">
        <f>SUM(I20:I20)</f>
        <v>28000</v>
      </c>
      <c r="J19" s="21">
        <f>SUM(J20:J20)</f>
        <v>28000</v>
      </c>
      <c r="K19" s="21">
        <f t="shared" ref="K19:L19" si="14">SUM(K20:K20)</f>
        <v>0</v>
      </c>
      <c r="L19" s="21">
        <f t="shared" si="14"/>
        <v>28000</v>
      </c>
      <c r="M19" s="14"/>
      <c r="O19" s="101"/>
      <c r="P19" s="101"/>
      <c r="R19" s="91" t="s">
        <v>288</v>
      </c>
      <c r="S19" s="196">
        <f>SUM(U19:AG19)</f>
        <v>0</v>
      </c>
      <c r="T19" s="196"/>
      <c r="U19" s="196">
        <f t="shared" ref="U19:AG19" si="15">COUNTIFS($O$9:$O$957,"KCM",$P$9:$P$957,U12)</f>
        <v>0</v>
      </c>
      <c r="V19" s="196">
        <f t="shared" si="15"/>
        <v>0</v>
      </c>
      <c r="W19" s="196">
        <f t="shared" si="15"/>
        <v>0</v>
      </c>
      <c r="X19" s="196">
        <f t="shared" si="15"/>
        <v>0</v>
      </c>
      <c r="Y19" s="196">
        <f t="shared" si="15"/>
        <v>0</v>
      </c>
      <c r="Z19" s="196">
        <f t="shared" si="15"/>
        <v>0</v>
      </c>
      <c r="AA19" s="196">
        <f t="shared" si="15"/>
        <v>0</v>
      </c>
      <c r="AB19" s="196">
        <f t="shared" si="15"/>
        <v>0</v>
      </c>
      <c r="AC19" s="196">
        <f t="shared" si="15"/>
        <v>0</v>
      </c>
      <c r="AD19" s="196">
        <f t="shared" si="15"/>
        <v>0</v>
      </c>
      <c r="AE19" s="196">
        <f t="shared" si="15"/>
        <v>0</v>
      </c>
      <c r="AF19" s="196">
        <f t="shared" si="15"/>
        <v>0</v>
      </c>
      <c r="AG19" s="196">
        <f t="shared" si="15"/>
        <v>0</v>
      </c>
      <c r="AH19" s="196"/>
    </row>
    <row r="20" spans="1:34" ht="60" customHeight="1">
      <c r="A20" s="7">
        <v>1</v>
      </c>
      <c r="B20" s="66" t="s">
        <v>532</v>
      </c>
      <c r="C20" s="104"/>
      <c r="D20" s="59" t="s">
        <v>19</v>
      </c>
      <c r="E20" s="67"/>
      <c r="F20" s="67" t="s">
        <v>528</v>
      </c>
      <c r="G20" s="67"/>
      <c r="H20" s="26">
        <v>29084</v>
      </c>
      <c r="I20" s="26">
        <v>28000</v>
      </c>
      <c r="J20" s="26">
        <v>28000</v>
      </c>
      <c r="K20" s="26"/>
      <c r="L20" s="26">
        <f>J20</f>
        <v>28000</v>
      </c>
      <c r="M20" s="105" t="s">
        <v>533</v>
      </c>
      <c r="O20" s="106"/>
      <c r="P20" s="106"/>
      <c r="Q20" s="107"/>
    </row>
    <row r="21" spans="1:34" s="13" customFormat="1" ht="50.1" customHeight="1">
      <c r="A21" s="75" t="s">
        <v>81</v>
      </c>
      <c r="B21" s="19" t="s">
        <v>777</v>
      </c>
      <c r="C21" s="75"/>
      <c r="D21" s="75"/>
      <c r="E21" s="75"/>
      <c r="F21" s="75"/>
      <c r="G21" s="75"/>
      <c r="H21" s="5">
        <f>SUM(H22)</f>
        <v>863539</v>
      </c>
      <c r="I21" s="5">
        <f t="shared" ref="I21:L22" si="16">SUM(I22)</f>
        <v>401965</v>
      </c>
      <c r="J21" s="5">
        <f t="shared" si="16"/>
        <v>28700</v>
      </c>
      <c r="K21" s="5">
        <f t="shared" si="16"/>
        <v>0</v>
      </c>
      <c r="L21" s="5">
        <f t="shared" si="16"/>
        <v>28700</v>
      </c>
      <c r="M21" s="20"/>
      <c r="O21" s="65"/>
      <c r="P21" s="65"/>
      <c r="R21" s="94"/>
      <c r="S21" s="196"/>
      <c r="T21" s="196"/>
      <c r="U21" s="196"/>
      <c r="V21" s="196"/>
      <c r="W21" s="196"/>
      <c r="X21" s="196"/>
      <c r="Y21" s="196"/>
      <c r="Z21" s="196"/>
      <c r="AA21" s="196"/>
      <c r="AB21" s="196"/>
      <c r="AC21" s="196"/>
      <c r="AD21" s="196"/>
      <c r="AE21" s="196"/>
      <c r="AF21" s="196"/>
      <c r="AG21" s="196"/>
      <c r="AH21" s="197"/>
    </row>
    <row r="22" spans="1:34" s="13" customFormat="1" ht="50.1" customHeight="1">
      <c r="A22" s="75" t="s">
        <v>534</v>
      </c>
      <c r="B22" s="19" t="s">
        <v>62</v>
      </c>
      <c r="C22" s="75"/>
      <c r="D22" s="75"/>
      <c r="E22" s="75"/>
      <c r="F22" s="75"/>
      <c r="G22" s="75"/>
      <c r="H22" s="5">
        <f>SUM(H23)</f>
        <v>863539</v>
      </c>
      <c r="I22" s="5">
        <f t="shared" si="16"/>
        <v>401965</v>
      </c>
      <c r="J22" s="5">
        <f t="shared" si="16"/>
        <v>28700</v>
      </c>
      <c r="K22" s="5">
        <f t="shared" si="16"/>
        <v>0</v>
      </c>
      <c r="L22" s="5">
        <f t="shared" si="16"/>
        <v>28700</v>
      </c>
      <c r="M22" s="20"/>
      <c r="O22" s="65"/>
      <c r="P22" s="65"/>
      <c r="R22" s="94" t="s">
        <v>287</v>
      </c>
      <c r="S22" s="196">
        <f>SUM(U22:AG22)</f>
        <v>0</v>
      </c>
      <c r="T22" s="196"/>
      <c r="U22" s="196">
        <f t="shared" ref="U22:AG22" si="17">COUNTIFS($O$9:$O$957,"CT",$P$9:$P$957,U16)</f>
        <v>0</v>
      </c>
      <c r="V22" s="196">
        <f t="shared" si="17"/>
        <v>0</v>
      </c>
      <c r="W22" s="196">
        <f t="shared" si="17"/>
        <v>0</v>
      </c>
      <c r="X22" s="196">
        <f t="shared" si="17"/>
        <v>0</v>
      </c>
      <c r="Y22" s="196">
        <f t="shared" si="17"/>
        <v>0</v>
      </c>
      <c r="Z22" s="196">
        <f t="shared" si="17"/>
        <v>0</v>
      </c>
      <c r="AA22" s="196">
        <f t="shared" si="17"/>
        <v>0</v>
      </c>
      <c r="AB22" s="196">
        <f t="shared" si="17"/>
        <v>0</v>
      </c>
      <c r="AC22" s="196">
        <f t="shared" si="17"/>
        <v>0</v>
      </c>
      <c r="AD22" s="196">
        <f t="shared" si="17"/>
        <v>0</v>
      </c>
      <c r="AE22" s="196">
        <f t="shared" si="17"/>
        <v>0</v>
      </c>
      <c r="AF22" s="196">
        <f t="shared" si="17"/>
        <v>0</v>
      </c>
      <c r="AG22" s="196">
        <f t="shared" si="17"/>
        <v>0</v>
      </c>
      <c r="AH22" s="197"/>
    </row>
    <row r="23" spans="1:34" s="100" customFormat="1" ht="45" customHeight="1">
      <c r="A23" s="11" t="s">
        <v>16</v>
      </c>
      <c r="B23" s="12" t="s">
        <v>56</v>
      </c>
      <c r="C23" s="12"/>
      <c r="D23" s="11"/>
      <c r="E23" s="12"/>
      <c r="F23" s="12"/>
      <c r="G23" s="12"/>
      <c r="H23" s="21">
        <f>SUM(H24:H25)</f>
        <v>863539</v>
      </c>
      <c r="I23" s="21">
        <f t="shared" ref="I23:J23" si="18">SUM(I24:I25)</f>
        <v>401965</v>
      </c>
      <c r="J23" s="21">
        <f t="shared" si="18"/>
        <v>28700</v>
      </c>
      <c r="K23" s="21">
        <f t="shared" ref="K23:L23" si="19">SUM(K24:K25)</f>
        <v>0</v>
      </c>
      <c r="L23" s="21">
        <f t="shared" si="19"/>
        <v>28700</v>
      </c>
      <c r="M23" s="14"/>
      <c r="O23" s="101"/>
      <c r="P23" s="101"/>
      <c r="R23" s="91" t="s">
        <v>288</v>
      </c>
      <c r="S23" s="196">
        <f>SUM(U23:AG23)</f>
        <v>0</v>
      </c>
      <c r="T23" s="196"/>
      <c r="U23" s="196">
        <f t="shared" ref="U23:AG23" si="20">COUNTIFS($O$9:$O$957,"KCM",$P$9:$P$957,U16)</f>
        <v>0</v>
      </c>
      <c r="V23" s="196">
        <f t="shared" si="20"/>
        <v>0</v>
      </c>
      <c r="W23" s="196">
        <f t="shared" si="20"/>
        <v>0</v>
      </c>
      <c r="X23" s="196">
        <f t="shared" si="20"/>
        <v>0</v>
      </c>
      <c r="Y23" s="196">
        <f t="shared" si="20"/>
        <v>0</v>
      </c>
      <c r="Z23" s="196">
        <f t="shared" si="20"/>
        <v>0</v>
      </c>
      <c r="AA23" s="196">
        <f t="shared" si="20"/>
        <v>0</v>
      </c>
      <c r="AB23" s="196">
        <f t="shared" si="20"/>
        <v>0</v>
      </c>
      <c r="AC23" s="196">
        <f t="shared" si="20"/>
        <v>0</v>
      </c>
      <c r="AD23" s="196">
        <f t="shared" si="20"/>
        <v>0</v>
      </c>
      <c r="AE23" s="196">
        <f t="shared" si="20"/>
        <v>0</v>
      </c>
      <c r="AF23" s="196">
        <f t="shared" si="20"/>
        <v>0</v>
      </c>
      <c r="AG23" s="196">
        <f t="shared" si="20"/>
        <v>0</v>
      </c>
      <c r="AH23" s="196"/>
    </row>
    <row r="24" spans="1:34" ht="121.5" customHeight="1">
      <c r="A24" s="7">
        <v>1</v>
      </c>
      <c r="B24" s="66" t="s">
        <v>535</v>
      </c>
      <c r="C24" s="104" t="s">
        <v>536</v>
      </c>
      <c r="D24" s="59" t="s">
        <v>21</v>
      </c>
      <c r="E24" s="67" t="s">
        <v>537</v>
      </c>
      <c r="F24" s="67" t="s">
        <v>473</v>
      </c>
      <c r="G24" s="67" t="s">
        <v>538</v>
      </c>
      <c r="H24" s="26">
        <v>704500</v>
      </c>
      <c r="I24" s="26">
        <v>265965</v>
      </c>
      <c r="J24" s="26">
        <v>16700</v>
      </c>
      <c r="K24" s="26"/>
      <c r="L24" s="26">
        <f t="shared" ref="L24:L25" si="21">J24</f>
        <v>16700</v>
      </c>
      <c r="M24" s="105" t="s">
        <v>539</v>
      </c>
      <c r="O24" s="106"/>
      <c r="P24" s="106"/>
      <c r="Q24" s="107"/>
    </row>
    <row r="25" spans="1:34" ht="75.75" customHeight="1">
      <c r="A25" s="7">
        <v>2</v>
      </c>
      <c r="B25" s="66" t="s">
        <v>540</v>
      </c>
      <c r="C25" s="104" t="s">
        <v>541</v>
      </c>
      <c r="D25" s="59" t="s">
        <v>21</v>
      </c>
      <c r="E25" s="67" t="s">
        <v>542</v>
      </c>
      <c r="F25" s="67" t="s">
        <v>39</v>
      </c>
      <c r="G25" s="67" t="s">
        <v>543</v>
      </c>
      <c r="H25" s="26">
        <v>159039</v>
      </c>
      <c r="I25" s="26">
        <v>136000</v>
      </c>
      <c r="J25" s="26">
        <v>12000</v>
      </c>
      <c r="K25" s="26"/>
      <c r="L25" s="26">
        <f t="shared" si="21"/>
        <v>12000</v>
      </c>
      <c r="M25" s="105" t="s">
        <v>544</v>
      </c>
      <c r="O25" s="106"/>
      <c r="P25" s="106"/>
      <c r="Q25" s="107"/>
    </row>
    <row r="26" spans="1:34" s="13" customFormat="1" ht="50.1" customHeight="1">
      <c r="A26" s="165" t="s">
        <v>21</v>
      </c>
      <c r="B26" s="30" t="s">
        <v>311</v>
      </c>
      <c r="C26" s="165"/>
      <c r="D26" s="165"/>
      <c r="E26" s="165"/>
      <c r="F26" s="165"/>
      <c r="G26" s="165"/>
      <c r="H26" s="39">
        <f>SUM(H27,H34,H36,H42,H45)</f>
        <v>867212</v>
      </c>
      <c r="I26" s="39">
        <f t="shared" ref="I26:L26" si="22">SUM(I27,I34,I36,I42,I45)</f>
        <v>583054</v>
      </c>
      <c r="J26" s="39">
        <f t="shared" si="22"/>
        <v>261654</v>
      </c>
      <c r="K26" s="39">
        <f t="shared" si="22"/>
        <v>0</v>
      </c>
      <c r="L26" s="39">
        <f t="shared" si="22"/>
        <v>261654</v>
      </c>
      <c r="M26" s="20"/>
      <c r="N26" s="13">
        <v>341654</v>
      </c>
      <c r="O26" s="65"/>
      <c r="P26" s="172"/>
      <c r="R26" s="94"/>
      <c r="S26" s="196"/>
      <c r="T26" s="196"/>
      <c r="U26" s="196"/>
      <c r="V26" s="196"/>
      <c r="W26" s="196"/>
      <c r="X26" s="196"/>
      <c r="Y26" s="196"/>
      <c r="Z26" s="196"/>
      <c r="AA26" s="196"/>
      <c r="AB26" s="196"/>
      <c r="AC26" s="196"/>
      <c r="AD26" s="196"/>
      <c r="AE26" s="196"/>
      <c r="AF26" s="196"/>
      <c r="AG26" s="196"/>
      <c r="AH26" s="197"/>
    </row>
    <row r="27" spans="1:34" s="100" customFormat="1" ht="45" customHeight="1">
      <c r="A27" s="11" t="s">
        <v>16</v>
      </c>
      <c r="B27" s="12" t="s">
        <v>56</v>
      </c>
      <c r="C27" s="12"/>
      <c r="D27" s="11"/>
      <c r="E27" s="12"/>
      <c r="F27" s="12"/>
      <c r="G27" s="12"/>
      <c r="H27" s="21">
        <f>SUM(H28:H33)</f>
        <v>73820</v>
      </c>
      <c r="I27" s="21">
        <f t="shared" ref="I27:J27" si="23">SUM(I28:I33)</f>
        <v>52500</v>
      </c>
      <c r="J27" s="21">
        <f t="shared" si="23"/>
        <v>52500</v>
      </c>
      <c r="K27" s="21">
        <f t="shared" ref="K27:L27" si="24">SUM(K28:K33)</f>
        <v>0</v>
      </c>
      <c r="L27" s="21">
        <f t="shared" si="24"/>
        <v>52500</v>
      </c>
      <c r="M27" s="14"/>
      <c r="O27" s="101"/>
      <c r="P27" s="101"/>
      <c r="R27" s="91"/>
      <c r="S27" s="196"/>
      <c r="T27" s="196"/>
      <c r="U27" s="196"/>
      <c r="V27" s="196"/>
      <c r="W27" s="196"/>
      <c r="X27" s="196"/>
      <c r="Y27" s="196"/>
      <c r="Z27" s="196"/>
      <c r="AA27" s="196"/>
      <c r="AB27" s="196"/>
      <c r="AC27" s="196"/>
      <c r="AD27" s="196"/>
      <c r="AE27" s="196"/>
      <c r="AF27" s="196"/>
      <c r="AG27" s="196"/>
      <c r="AH27" s="196"/>
    </row>
    <row r="28" spans="1:34" ht="92.25" customHeight="1">
      <c r="A28" s="7">
        <v>1</v>
      </c>
      <c r="B28" s="66" t="s">
        <v>477</v>
      </c>
      <c r="C28" s="104" t="s">
        <v>520</v>
      </c>
      <c r="D28" s="59" t="s">
        <v>19</v>
      </c>
      <c r="E28" s="67" t="s">
        <v>545</v>
      </c>
      <c r="F28" s="67" t="s">
        <v>528</v>
      </c>
      <c r="G28" s="67" t="s">
        <v>651</v>
      </c>
      <c r="H28" s="26">
        <v>9500</v>
      </c>
      <c r="I28" s="26">
        <f>J28</f>
        <v>3000</v>
      </c>
      <c r="J28" s="26">
        <v>3000</v>
      </c>
      <c r="K28" s="26"/>
      <c r="L28" s="26">
        <f t="shared" ref="L28:L33" si="25">J28</f>
        <v>3000</v>
      </c>
      <c r="M28" s="105"/>
      <c r="N28" s="105" t="s">
        <v>546</v>
      </c>
      <c r="O28" s="106"/>
      <c r="P28" s="106"/>
      <c r="Q28" s="107"/>
    </row>
    <row r="29" spans="1:34" ht="84" customHeight="1">
      <c r="A29" s="7">
        <v>2</v>
      </c>
      <c r="B29" s="66" t="s">
        <v>478</v>
      </c>
      <c r="C29" s="104" t="s">
        <v>547</v>
      </c>
      <c r="D29" s="59" t="s">
        <v>19</v>
      </c>
      <c r="E29" s="67" t="s">
        <v>747</v>
      </c>
      <c r="F29" s="67" t="s">
        <v>528</v>
      </c>
      <c r="G29" s="67" t="s">
        <v>748</v>
      </c>
      <c r="H29" s="26">
        <v>14452</v>
      </c>
      <c r="I29" s="26">
        <f>J29</f>
        <v>11000</v>
      </c>
      <c r="J29" s="26">
        <v>11000</v>
      </c>
      <c r="K29" s="26"/>
      <c r="L29" s="26">
        <f t="shared" si="25"/>
        <v>11000</v>
      </c>
      <c r="M29" s="198"/>
      <c r="N29" s="8" t="s">
        <v>548</v>
      </c>
      <c r="O29" s="106" t="s">
        <v>549</v>
      </c>
      <c r="P29" s="106"/>
      <c r="Q29" s="107"/>
    </row>
    <row r="30" spans="1:34" ht="84" customHeight="1">
      <c r="A30" s="7">
        <v>3</v>
      </c>
      <c r="B30" s="66" t="s">
        <v>550</v>
      </c>
      <c r="C30" s="67" t="s">
        <v>551</v>
      </c>
      <c r="D30" s="59" t="s">
        <v>19</v>
      </c>
      <c r="E30" s="67" t="s">
        <v>552</v>
      </c>
      <c r="F30" s="67" t="s">
        <v>528</v>
      </c>
      <c r="G30" s="67" t="s">
        <v>749</v>
      </c>
      <c r="H30" s="26">
        <v>14954</v>
      </c>
      <c r="I30" s="26">
        <f>J30</f>
        <v>12000</v>
      </c>
      <c r="J30" s="26">
        <v>12000</v>
      </c>
      <c r="K30" s="26"/>
      <c r="L30" s="26">
        <f t="shared" si="25"/>
        <v>12000</v>
      </c>
      <c r="M30" s="198"/>
      <c r="N30" s="8" t="s">
        <v>548</v>
      </c>
      <c r="O30" s="106"/>
      <c r="P30" s="106"/>
      <c r="Q30" s="107"/>
    </row>
    <row r="31" spans="1:34" ht="84" customHeight="1">
      <c r="A31" s="7">
        <v>4</v>
      </c>
      <c r="B31" s="66" t="s">
        <v>553</v>
      </c>
      <c r="C31" s="104" t="s">
        <v>554</v>
      </c>
      <c r="D31" s="59" t="s">
        <v>19</v>
      </c>
      <c r="E31" s="67" t="s">
        <v>555</v>
      </c>
      <c r="F31" s="67" t="s">
        <v>528</v>
      </c>
      <c r="G31" s="67" t="s">
        <v>652</v>
      </c>
      <c r="H31" s="26">
        <v>14600</v>
      </c>
      <c r="I31" s="26">
        <v>11000</v>
      </c>
      <c r="J31" s="26">
        <v>11000</v>
      </c>
      <c r="K31" s="26"/>
      <c r="L31" s="26">
        <f t="shared" si="25"/>
        <v>11000</v>
      </c>
      <c r="M31" s="105"/>
      <c r="N31" s="105" t="s">
        <v>556</v>
      </c>
      <c r="O31" s="106" t="s">
        <v>557</v>
      </c>
      <c r="P31" s="106"/>
      <c r="Q31" s="107"/>
    </row>
    <row r="32" spans="1:34" ht="84" customHeight="1">
      <c r="A32" s="7">
        <v>5</v>
      </c>
      <c r="B32" s="66" t="s">
        <v>479</v>
      </c>
      <c r="C32" s="104" t="s">
        <v>48</v>
      </c>
      <c r="D32" s="59" t="s">
        <v>19</v>
      </c>
      <c r="E32" s="67" t="s">
        <v>558</v>
      </c>
      <c r="F32" s="67" t="s">
        <v>528</v>
      </c>
      <c r="G32" s="67" t="s">
        <v>653</v>
      </c>
      <c r="H32" s="26">
        <v>14990</v>
      </c>
      <c r="I32" s="26">
        <v>11000</v>
      </c>
      <c r="J32" s="26">
        <v>11000</v>
      </c>
      <c r="K32" s="26"/>
      <c r="L32" s="26">
        <f t="shared" si="25"/>
        <v>11000</v>
      </c>
      <c r="M32" s="105"/>
      <c r="N32" s="105" t="s">
        <v>559</v>
      </c>
      <c r="O32" s="106"/>
      <c r="P32" s="106"/>
      <c r="Q32" s="107"/>
    </row>
    <row r="33" spans="1:34" ht="84" customHeight="1">
      <c r="A33" s="7">
        <v>6</v>
      </c>
      <c r="B33" s="66" t="s">
        <v>560</v>
      </c>
      <c r="C33" s="104" t="s">
        <v>561</v>
      </c>
      <c r="D33" s="59" t="s">
        <v>19</v>
      </c>
      <c r="E33" s="67" t="s">
        <v>562</v>
      </c>
      <c r="F33" s="67" t="s">
        <v>563</v>
      </c>
      <c r="G33" s="67" t="s">
        <v>654</v>
      </c>
      <c r="H33" s="26">
        <v>5324</v>
      </c>
      <c r="I33" s="26">
        <f>J33</f>
        <v>4500</v>
      </c>
      <c r="J33" s="26">
        <v>4500</v>
      </c>
      <c r="K33" s="26"/>
      <c r="L33" s="26">
        <f t="shared" si="25"/>
        <v>4500</v>
      </c>
      <c r="M33" s="105"/>
      <c r="N33" s="105" t="s">
        <v>564</v>
      </c>
      <c r="O33" s="106"/>
      <c r="P33" s="106"/>
      <c r="Q33" s="107"/>
    </row>
    <row r="34" spans="1:34" s="100" customFormat="1" ht="45" customHeight="1">
      <c r="A34" s="11" t="s">
        <v>24</v>
      </c>
      <c r="B34" s="12" t="s">
        <v>63</v>
      </c>
      <c r="C34" s="12"/>
      <c r="D34" s="11"/>
      <c r="E34" s="12"/>
      <c r="F34" s="12"/>
      <c r="G34" s="12"/>
      <c r="H34" s="5">
        <f>SUM(H35:H35)</f>
        <v>292004</v>
      </c>
      <c r="I34" s="5">
        <f>SUM(I35:I35)</f>
        <v>292004</v>
      </c>
      <c r="J34" s="5">
        <f>SUM(J35:J35)</f>
        <v>22254</v>
      </c>
      <c r="K34" s="5">
        <f t="shared" ref="K34:L34" si="26">SUM(K35:K35)</f>
        <v>0</v>
      </c>
      <c r="L34" s="5">
        <f t="shared" si="26"/>
        <v>22254</v>
      </c>
      <c r="M34" s="14"/>
      <c r="O34" s="101"/>
      <c r="P34" s="101"/>
      <c r="R34" s="91"/>
      <c r="S34" s="196"/>
      <c r="T34" s="196"/>
      <c r="U34" s="196"/>
      <c r="V34" s="196"/>
      <c r="W34" s="196"/>
      <c r="X34" s="196"/>
      <c r="Y34" s="196"/>
      <c r="Z34" s="196"/>
      <c r="AA34" s="196"/>
      <c r="AB34" s="196"/>
      <c r="AC34" s="196"/>
      <c r="AD34" s="196"/>
      <c r="AE34" s="196"/>
      <c r="AF34" s="196"/>
      <c r="AG34" s="196"/>
      <c r="AH34" s="196"/>
    </row>
    <row r="35" spans="1:34" ht="123" customHeight="1">
      <c r="A35" s="7">
        <v>1</v>
      </c>
      <c r="B35" s="66" t="s">
        <v>431</v>
      </c>
      <c r="C35" s="104" t="s">
        <v>432</v>
      </c>
      <c r="D35" s="59" t="s">
        <v>21</v>
      </c>
      <c r="E35" s="67" t="s">
        <v>433</v>
      </c>
      <c r="F35" s="67" t="s">
        <v>217</v>
      </c>
      <c r="G35" s="67" t="s">
        <v>565</v>
      </c>
      <c r="H35" s="26">
        <v>292004</v>
      </c>
      <c r="I35" s="26">
        <v>292004</v>
      </c>
      <c r="J35" s="26">
        <v>22254</v>
      </c>
      <c r="K35" s="26"/>
      <c r="L35" s="26">
        <f>J35</f>
        <v>22254</v>
      </c>
      <c r="M35" s="105" t="s">
        <v>566</v>
      </c>
      <c r="N35" s="4"/>
      <c r="O35" s="106"/>
      <c r="P35" s="106"/>
      <c r="Q35" s="107"/>
    </row>
    <row r="36" spans="1:34" ht="66" customHeight="1">
      <c r="A36" s="11" t="s">
        <v>29</v>
      </c>
      <c r="B36" s="12" t="s">
        <v>255</v>
      </c>
      <c r="C36" s="104"/>
      <c r="D36" s="59"/>
      <c r="E36" s="67"/>
      <c r="F36" s="67"/>
      <c r="G36" s="67"/>
      <c r="H36" s="199">
        <f>SUM(H37:H41)</f>
        <v>82013</v>
      </c>
      <c r="I36" s="199">
        <f>SUM(I37:I41)</f>
        <v>44400</v>
      </c>
      <c r="J36" s="199">
        <f>SUM(J37:J41)</f>
        <v>44400</v>
      </c>
      <c r="K36" s="199">
        <f>SUM(K37:K41)</f>
        <v>0</v>
      </c>
      <c r="L36" s="199">
        <f>SUM(L37:L41)</f>
        <v>44400</v>
      </c>
      <c r="M36" s="105"/>
      <c r="O36" s="106"/>
      <c r="P36" s="106"/>
      <c r="Q36" s="107"/>
    </row>
    <row r="37" spans="1:34" ht="122.25" customHeight="1">
      <c r="A37" s="7">
        <v>1</v>
      </c>
      <c r="B37" s="66" t="s">
        <v>480</v>
      </c>
      <c r="C37" s="104" t="s">
        <v>567</v>
      </c>
      <c r="D37" s="59" t="s">
        <v>21</v>
      </c>
      <c r="E37" s="67" t="s">
        <v>568</v>
      </c>
      <c r="F37" s="67" t="s">
        <v>425</v>
      </c>
      <c r="G37" s="67" t="s">
        <v>816</v>
      </c>
      <c r="H37" s="26">
        <v>47307</v>
      </c>
      <c r="I37" s="26">
        <f>J37</f>
        <v>15000</v>
      </c>
      <c r="J37" s="26">
        <v>15000</v>
      </c>
      <c r="K37" s="26"/>
      <c r="L37" s="26">
        <f t="shared" ref="L37:L41" si="27">J37</f>
        <v>15000</v>
      </c>
      <c r="M37" s="105"/>
      <c r="N37" s="67" t="s">
        <v>657</v>
      </c>
      <c r="O37" s="106"/>
      <c r="P37" s="106"/>
      <c r="Q37" s="107"/>
    </row>
    <row r="38" spans="1:34" ht="92.25" customHeight="1">
      <c r="A38" s="7">
        <v>4</v>
      </c>
      <c r="B38" s="66" t="s">
        <v>481</v>
      </c>
      <c r="C38" s="104" t="s">
        <v>575</v>
      </c>
      <c r="D38" s="59" t="s">
        <v>19</v>
      </c>
      <c r="E38" s="67" t="s">
        <v>137</v>
      </c>
      <c r="F38" s="67" t="s">
        <v>39</v>
      </c>
      <c r="G38" s="67" t="s">
        <v>655</v>
      </c>
      <c r="H38" s="26">
        <v>12000</v>
      </c>
      <c r="I38" s="26">
        <v>9000</v>
      </c>
      <c r="J38" s="26">
        <v>9000</v>
      </c>
      <c r="K38" s="26"/>
      <c r="L38" s="26">
        <f t="shared" si="27"/>
        <v>9000</v>
      </c>
      <c r="M38" s="105"/>
      <c r="N38" s="105" t="s">
        <v>576</v>
      </c>
      <c r="O38" s="106"/>
      <c r="P38" s="106"/>
      <c r="Q38" s="107"/>
    </row>
    <row r="39" spans="1:34" ht="92.25" customHeight="1">
      <c r="A39" s="7">
        <v>5</v>
      </c>
      <c r="B39" s="66" t="s">
        <v>577</v>
      </c>
      <c r="C39" s="104" t="s">
        <v>578</v>
      </c>
      <c r="D39" s="59" t="s">
        <v>19</v>
      </c>
      <c r="E39" s="67" t="s">
        <v>579</v>
      </c>
      <c r="F39" s="67" t="s">
        <v>563</v>
      </c>
      <c r="G39" s="67" t="s">
        <v>656</v>
      </c>
      <c r="H39" s="26">
        <v>8788</v>
      </c>
      <c r="I39" s="26">
        <f>J39</f>
        <v>8000</v>
      </c>
      <c r="J39" s="26">
        <v>8000</v>
      </c>
      <c r="K39" s="26"/>
      <c r="L39" s="26">
        <f t="shared" si="27"/>
        <v>8000</v>
      </c>
      <c r="M39" s="105"/>
      <c r="N39" s="105" t="s">
        <v>580</v>
      </c>
      <c r="O39" s="106"/>
      <c r="P39" s="106"/>
      <c r="Q39" s="107"/>
    </row>
    <row r="40" spans="1:34" ht="92.25" customHeight="1">
      <c r="A40" s="7">
        <v>6</v>
      </c>
      <c r="B40" s="66" t="s">
        <v>581</v>
      </c>
      <c r="C40" s="104" t="s">
        <v>582</v>
      </c>
      <c r="D40" s="59" t="s">
        <v>19</v>
      </c>
      <c r="E40" s="67" t="s">
        <v>583</v>
      </c>
      <c r="F40" s="67" t="s">
        <v>563</v>
      </c>
      <c r="G40" s="67" t="s">
        <v>584</v>
      </c>
      <c r="H40" s="26">
        <v>8760</v>
      </c>
      <c r="I40" s="26">
        <f>J40</f>
        <v>7400</v>
      </c>
      <c r="J40" s="26">
        <v>7400</v>
      </c>
      <c r="K40" s="26"/>
      <c r="L40" s="26">
        <f t="shared" si="27"/>
        <v>7400</v>
      </c>
      <c r="M40" s="105" t="s">
        <v>585</v>
      </c>
      <c r="N40" s="105" t="s">
        <v>586</v>
      </c>
      <c r="O40" s="106"/>
      <c r="P40" s="106"/>
      <c r="Q40" s="107"/>
    </row>
    <row r="41" spans="1:34" ht="92.25" customHeight="1">
      <c r="A41" s="7">
        <v>7</v>
      </c>
      <c r="B41" s="66" t="s">
        <v>482</v>
      </c>
      <c r="C41" s="104" t="s">
        <v>587</v>
      </c>
      <c r="D41" s="59" t="s">
        <v>19</v>
      </c>
      <c r="E41" s="67" t="s">
        <v>588</v>
      </c>
      <c r="F41" s="67" t="s">
        <v>563</v>
      </c>
      <c r="G41" s="67" t="s">
        <v>765</v>
      </c>
      <c r="H41" s="26">
        <v>5158</v>
      </c>
      <c r="I41" s="26">
        <f>J41</f>
        <v>5000</v>
      </c>
      <c r="J41" s="26">
        <v>5000</v>
      </c>
      <c r="K41" s="26"/>
      <c r="L41" s="26">
        <f t="shared" si="27"/>
        <v>5000</v>
      </c>
      <c r="M41" s="105"/>
      <c r="N41" s="8" t="s">
        <v>569</v>
      </c>
      <c r="O41" s="106"/>
      <c r="P41" s="106"/>
      <c r="Q41" s="107"/>
    </row>
    <row r="42" spans="1:34" s="100" customFormat="1" ht="45" customHeight="1">
      <c r="A42" s="11" t="s">
        <v>86</v>
      </c>
      <c r="B42" s="12" t="s">
        <v>531</v>
      </c>
      <c r="C42" s="12"/>
      <c r="D42" s="11"/>
      <c r="E42" s="12"/>
      <c r="F42" s="12"/>
      <c r="G42" s="12"/>
      <c r="H42" s="5">
        <f>SUM(H43:H44)</f>
        <v>344270</v>
      </c>
      <c r="I42" s="5">
        <f t="shared" ref="I42" si="28">SUM(I43:I44)</f>
        <v>155350</v>
      </c>
      <c r="J42" s="5">
        <f>SUM(J43:J44)</f>
        <v>103700</v>
      </c>
      <c r="K42" s="5">
        <f t="shared" ref="K42:L42" si="29">SUM(K43:K44)</f>
        <v>0</v>
      </c>
      <c r="L42" s="5">
        <f t="shared" si="29"/>
        <v>103700</v>
      </c>
      <c r="M42" s="14"/>
      <c r="O42" s="101"/>
      <c r="P42" s="101"/>
      <c r="R42" s="91"/>
      <c r="S42" s="196"/>
      <c r="T42" s="196"/>
      <c r="U42" s="196"/>
      <c r="V42" s="196"/>
      <c r="W42" s="196"/>
      <c r="X42" s="196"/>
      <c r="Y42" s="196"/>
      <c r="Z42" s="196"/>
      <c r="AA42" s="196"/>
      <c r="AB42" s="196"/>
      <c r="AC42" s="196"/>
      <c r="AD42" s="196"/>
      <c r="AE42" s="196"/>
      <c r="AF42" s="196"/>
      <c r="AG42" s="196"/>
      <c r="AH42" s="196"/>
    </row>
    <row r="43" spans="1:34" ht="84" customHeight="1">
      <c r="A43" s="7">
        <v>1</v>
      </c>
      <c r="B43" s="66" t="s">
        <v>589</v>
      </c>
      <c r="C43" s="201" t="s">
        <v>590</v>
      </c>
      <c r="D43" s="59" t="s">
        <v>21</v>
      </c>
      <c r="E43" s="201" t="s">
        <v>591</v>
      </c>
      <c r="F43" s="202" t="s">
        <v>240</v>
      </c>
      <c r="G43" s="202" t="s">
        <v>592</v>
      </c>
      <c r="H43" s="203">
        <v>168930</v>
      </c>
      <c r="I43" s="203">
        <v>70350</v>
      </c>
      <c r="J43" s="26">
        <v>41200</v>
      </c>
      <c r="K43" s="26"/>
      <c r="L43" s="26">
        <f t="shared" ref="L43:L44" si="30">J43</f>
        <v>41200</v>
      </c>
      <c r="M43" s="105" t="s">
        <v>593</v>
      </c>
      <c r="O43" s="106"/>
      <c r="P43" s="106"/>
      <c r="Q43" s="107"/>
    </row>
    <row r="44" spans="1:34" ht="84" customHeight="1">
      <c r="A44" s="7">
        <v>2</v>
      </c>
      <c r="B44" s="66" t="s">
        <v>594</v>
      </c>
      <c r="C44" s="104" t="s">
        <v>595</v>
      </c>
      <c r="D44" s="59" t="s">
        <v>21</v>
      </c>
      <c r="E44" s="67" t="s">
        <v>596</v>
      </c>
      <c r="F44" s="67" t="s">
        <v>240</v>
      </c>
      <c r="G44" s="67" t="s">
        <v>597</v>
      </c>
      <c r="H44" s="26">
        <v>175340</v>
      </c>
      <c r="I44" s="26">
        <v>85000</v>
      </c>
      <c r="J44" s="26">
        <v>62500</v>
      </c>
      <c r="K44" s="26"/>
      <c r="L44" s="26">
        <f t="shared" si="30"/>
        <v>62500</v>
      </c>
      <c r="M44" s="105" t="s">
        <v>593</v>
      </c>
      <c r="O44" s="106"/>
      <c r="P44" s="106"/>
      <c r="Q44" s="107"/>
    </row>
    <row r="45" spans="1:34" s="100" customFormat="1" ht="116.25" customHeight="1">
      <c r="A45" s="11" t="s">
        <v>89</v>
      </c>
      <c r="B45" s="12" t="s">
        <v>817</v>
      </c>
      <c r="C45" s="12"/>
      <c r="D45" s="11"/>
      <c r="E45" s="12"/>
      <c r="F45" s="12"/>
      <c r="G45" s="12"/>
      <c r="H45" s="5">
        <f>SUM(H46:H48)</f>
        <v>75105</v>
      </c>
      <c r="I45" s="5">
        <f t="shared" ref="I45:L45" si="31">SUM(I46:I48)</f>
        <v>38800</v>
      </c>
      <c r="J45" s="5">
        <f t="shared" si="31"/>
        <v>38800</v>
      </c>
      <c r="K45" s="5">
        <f t="shared" si="31"/>
        <v>0</v>
      </c>
      <c r="L45" s="5">
        <f t="shared" si="31"/>
        <v>38800</v>
      </c>
      <c r="M45" s="14" t="s">
        <v>818</v>
      </c>
      <c r="O45" s="101"/>
      <c r="P45" s="101"/>
      <c r="R45" s="91"/>
      <c r="S45" s="196"/>
      <c r="T45" s="196"/>
      <c r="U45" s="196"/>
      <c r="V45" s="196"/>
      <c r="W45" s="196"/>
      <c r="X45" s="196"/>
      <c r="Y45" s="196"/>
      <c r="Z45" s="196"/>
      <c r="AA45" s="196"/>
      <c r="AB45" s="196"/>
      <c r="AC45" s="196"/>
      <c r="AD45" s="196"/>
      <c r="AE45" s="196"/>
      <c r="AF45" s="196"/>
      <c r="AG45" s="196"/>
      <c r="AH45" s="196"/>
    </row>
    <row r="46" spans="1:34" ht="92.25" hidden="1" customHeight="1">
      <c r="A46" s="7">
        <v>1</v>
      </c>
      <c r="B46" s="66" t="s">
        <v>570</v>
      </c>
      <c r="C46" s="104" t="s">
        <v>520</v>
      </c>
      <c r="D46" s="59" t="s">
        <v>19</v>
      </c>
      <c r="E46" s="67" t="s">
        <v>571</v>
      </c>
      <c r="F46" s="67" t="s">
        <v>425</v>
      </c>
      <c r="G46" s="200"/>
      <c r="H46" s="26">
        <v>41000</v>
      </c>
      <c r="I46" s="26">
        <f t="shared" ref="I46" si="32">J46</f>
        <v>15000</v>
      </c>
      <c r="J46" s="26">
        <v>15000</v>
      </c>
      <c r="K46" s="26"/>
      <c r="L46" s="26">
        <f>J46</f>
        <v>15000</v>
      </c>
      <c r="M46" s="105"/>
      <c r="O46" s="106"/>
      <c r="P46" s="106"/>
      <c r="Q46" s="107"/>
    </row>
    <row r="47" spans="1:34" ht="92.25" hidden="1" customHeight="1">
      <c r="A47" s="7">
        <v>2</v>
      </c>
      <c r="B47" s="66" t="s">
        <v>572</v>
      </c>
      <c r="C47" s="104" t="s">
        <v>573</v>
      </c>
      <c r="D47" s="59" t="s">
        <v>19</v>
      </c>
      <c r="E47" s="67" t="s">
        <v>574</v>
      </c>
      <c r="F47" s="67" t="s">
        <v>563</v>
      </c>
      <c r="G47" s="200"/>
      <c r="H47" s="26">
        <v>25003</v>
      </c>
      <c r="I47" s="26">
        <f>J47</f>
        <v>15000</v>
      </c>
      <c r="J47" s="26">
        <v>15000</v>
      </c>
      <c r="K47" s="26"/>
      <c r="L47" s="26">
        <f>J47</f>
        <v>15000</v>
      </c>
      <c r="M47" s="105"/>
      <c r="O47" s="106"/>
      <c r="P47" s="106"/>
      <c r="Q47" s="107"/>
    </row>
    <row r="48" spans="1:34" ht="75.900000000000006" hidden="1" customHeight="1">
      <c r="A48" s="7">
        <v>3</v>
      </c>
      <c r="B48" s="66" t="s">
        <v>504</v>
      </c>
      <c r="C48" s="201" t="s">
        <v>598</v>
      </c>
      <c r="D48" s="59" t="s">
        <v>19</v>
      </c>
      <c r="E48" s="201" t="s">
        <v>599</v>
      </c>
      <c r="F48" s="202" t="s">
        <v>528</v>
      </c>
      <c r="G48" s="204"/>
      <c r="H48" s="203">
        <v>9102</v>
      </c>
      <c r="I48" s="203">
        <f>J48</f>
        <v>8800</v>
      </c>
      <c r="J48" s="26">
        <v>8800</v>
      </c>
      <c r="K48" s="26"/>
      <c r="L48" s="26">
        <f>J48</f>
        <v>8800</v>
      </c>
      <c r="M48" s="105"/>
      <c r="O48" s="106"/>
      <c r="P48" s="106"/>
      <c r="Q48" s="107"/>
    </row>
  </sheetData>
  <mergeCells count="17">
    <mergeCell ref="H7:I7"/>
    <mergeCell ref="A1:M1"/>
    <mergeCell ref="A2:M2"/>
    <mergeCell ref="A4:M4"/>
    <mergeCell ref="A6:A8"/>
    <mergeCell ref="B6:B8"/>
    <mergeCell ref="C6:C8"/>
    <mergeCell ref="D6:D8"/>
    <mergeCell ref="E6:E8"/>
    <mergeCell ref="F6:F8"/>
    <mergeCell ref="G6:I6"/>
    <mergeCell ref="L6:L8"/>
    <mergeCell ref="K6:K8"/>
    <mergeCell ref="A3:M3"/>
    <mergeCell ref="J6:J8"/>
    <mergeCell ref="M6:M8"/>
    <mergeCell ref="G7:G8"/>
  </mergeCells>
  <printOptions horizontalCentered="1"/>
  <pageMargins left="0.39370078740157499" right="0.39370078740157499" top="0.39370078740157499" bottom="0.39370078740157499" header="0.196850393700787" footer="0.196850393700787"/>
  <pageSetup paperSize="9" scale="51" fitToHeight="0" orientation="landscape" r:id="rId1"/>
  <headerFooter alignWithMargins="0">
    <oddFooter>&amp;C&amp;"Times New Roman,thường"&amp;11&amp;P/&amp;N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B61"/>
  <sheetViews>
    <sheetView view="pageBreakPreview" zoomScale="60" zoomScaleNormal="70" workbookViewId="0">
      <selection activeCell="I35" sqref="I35"/>
    </sheetView>
  </sheetViews>
  <sheetFormatPr defaultColWidth="9.109375" defaultRowHeight="16.8"/>
  <cols>
    <col min="1" max="1" width="8.6640625" style="292" customWidth="1"/>
    <col min="2" max="2" width="50.6640625" style="292" customWidth="1"/>
    <col min="3" max="3" width="20.6640625" style="292" customWidth="1"/>
    <col min="4" max="4" width="20.6640625" style="293" customWidth="1"/>
    <col min="5" max="6" width="20.6640625" style="292" customWidth="1"/>
    <col min="7" max="7" width="22.6640625" style="292" customWidth="1"/>
    <col min="8" max="9" width="15.6640625" style="292" customWidth="1"/>
    <col min="10" max="10" width="20.6640625" style="292" customWidth="1"/>
    <col min="11" max="20" width="15.6640625" style="292" hidden="1" customWidth="1"/>
    <col min="21" max="26" width="15.6640625" style="292" customWidth="1"/>
    <col min="27" max="29" width="40.6640625" style="292" customWidth="1"/>
    <col min="30" max="30" width="19.109375" style="292" customWidth="1"/>
    <col min="31" max="31" width="14.88671875" style="293" customWidth="1"/>
    <col min="32" max="32" width="13.44140625" style="293" customWidth="1"/>
    <col min="33" max="36" width="17.88671875" style="292" customWidth="1"/>
    <col min="37" max="37" width="19.33203125" style="292" customWidth="1"/>
    <col min="38" max="38" width="17.33203125" style="292" customWidth="1"/>
    <col min="39" max="39" width="15.33203125" style="292" customWidth="1"/>
    <col min="40" max="40" width="14.6640625" style="292" bestFit="1" customWidth="1"/>
    <col min="41" max="41" width="12.6640625" style="292" bestFit="1" customWidth="1"/>
    <col min="42" max="43" width="9.109375" style="292"/>
    <col min="44" max="44" width="11.33203125" style="292" bestFit="1" customWidth="1"/>
    <col min="45" max="45" width="9.109375" style="292"/>
    <col min="46" max="46" width="12.6640625" style="292" bestFit="1" customWidth="1"/>
    <col min="47" max="47" width="9.109375" style="292"/>
    <col min="48" max="48" width="12.44140625" style="292" customWidth="1"/>
    <col min="49" max="49" width="15.33203125" style="292" customWidth="1"/>
    <col min="50" max="50" width="15" style="292" customWidth="1"/>
    <col min="51" max="51" width="9.109375" style="292"/>
    <col min="52" max="52" width="11.33203125" style="292" bestFit="1" customWidth="1"/>
    <col min="53" max="53" width="14.88671875" style="292" customWidth="1"/>
    <col min="54" max="16384" width="9.109375" style="292"/>
  </cols>
  <sheetData>
    <row r="1" spans="1:54" ht="39.9" customHeight="1">
      <c r="A1" s="544" t="s">
        <v>67</v>
      </c>
      <c r="B1" s="544"/>
      <c r="C1" s="544"/>
      <c r="D1" s="544"/>
      <c r="E1" s="544"/>
      <c r="F1" s="544"/>
      <c r="G1" s="544"/>
      <c r="H1" s="544"/>
      <c r="I1" s="544"/>
      <c r="J1" s="544"/>
      <c r="K1" s="544"/>
      <c r="L1" s="544"/>
      <c r="M1" s="544"/>
      <c r="N1" s="544"/>
      <c r="O1" s="544"/>
      <c r="P1" s="544"/>
      <c r="Q1" s="544"/>
      <c r="R1" s="544"/>
      <c r="S1" s="544"/>
      <c r="T1" s="544"/>
      <c r="U1" s="544"/>
      <c r="V1" s="544"/>
      <c r="W1" s="544"/>
      <c r="X1" s="544"/>
      <c r="Y1" s="544"/>
      <c r="Z1" s="544"/>
      <c r="AA1" s="544"/>
      <c r="AB1" s="291"/>
      <c r="AC1" s="291"/>
    </row>
    <row r="2" spans="1:54" ht="35.1" customHeight="1">
      <c r="A2" s="545" t="s">
        <v>724</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294"/>
      <c r="AC2" s="294"/>
    </row>
    <row r="3" spans="1:54" ht="35.1" customHeight="1">
      <c r="A3" s="545" t="s">
        <v>306</v>
      </c>
      <c r="B3" s="545"/>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294"/>
      <c r="AC3" s="294"/>
    </row>
    <row r="4" spans="1:54" ht="39.9" customHeight="1">
      <c r="A4" s="546" t="str">
        <f>TH!A2</f>
        <v>(Ban hành kèm theo Quyết định số: 2631/QĐ-UBND ngày 19/12 /2024 của Ủy ban nhân dân tỉnh)</v>
      </c>
      <c r="B4" s="546"/>
      <c r="C4" s="546"/>
      <c r="D4" s="546"/>
      <c r="E4" s="546"/>
      <c r="F4" s="546"/>
      <c r="G4" s="546"/>
      <c r="H4" s="546"/>
      <c r="I4" s="546"/>
      <c r="J4" s="546"/>
      <c r="K4" s="546"/>
      <c r="L4" s="546"/>
      <c r="M4" s="546"/>
      <c r="N4" s="546"/>
      <c r="O4" s="546"/>
      <c r="P4" s="546"/>
      <c r="Q4" s="546"/>
      <c r="R4" s="546"/>
      <c r="S4" s="546"/>
      <c r="T4" s="546"/>
      <c r="U4" s="546"/>
      <c r="V4" s="546"/>
      <c r="W4" s="546"/>
      <c r="X4" s="546"/>
      <c r="Y4" s="546"/>
      <c r="Z4" s="546"/>
      <c r="AA4" s="546"/>
      <c r="AB4" s="295"/>
      <c r="AC4" s="295"/>
    </row>
    <row r="5" spans="1:54" ht="33.75" customHeight="1">
      <c r="J5" s="296"/>
      <c r="K5" s="296"/>
      <c r="L5" s="296"/>
      <c r="M5" s="296"/>
      <c r="N5" s="296"/>
      <c r="O5" s="296"/>
      <c r="P5" s="296"/>
      <c r="Q5" s="296"/>
      <c r="R5" s="296"/>
      <c r="S5" s="296"/>
      <c r="T5" s="296"/>
      <c r="U5" s="296"/>
      <c r="V5" s="296"/>
      <c r="W5" s="296"/>
      <c r="X5" s="296"/>
      <c r="Y5" s="296"/>
      <c r="Z5" s="296"/>
      <c r="AA5" s="296" t="s">
        <v>0</v>
      </c>
      <c r="AB5" s="297"/>
      <c r="AC5" s="297"/>
    </row>
    <row r="6" spans="1:54" ht="60" customHeight="1">
      <c r="A6" s="541" t="s">
        <v>1</v>
      </c>
      <c r="B6" s="541" t="s">
        <v>2</v>
      </c>
      <c r="C6" s="541" t="s">
        <v>3</v>
      </c>
      <c r="D6" s="541" t="s">
        <v>321</v>
      </c>
      <c r="E6" s="549" t="s">
        <v>4</v>
      </c>
      <c r="F6" s="549" t="s">
        <v>5</v>
      </c>
      <c r="G6" s="549" t="s">
        <v>600</v>
      </c>
      <c r="H6" s="549"/>
      <c r="I6" s="549"/>
      <c r="J6" s="552" t="s">
        <v>850</v>
      </c>
      <c r="K6" s="181"/>
      <c r="L6" s="181"/>
      <c r="M6" s="181"/>
      <c r="N6" s="181"/>
      <c r="O6" s="181"/>
      <c r="P6" s="181"/>
      <c r="Q6" s="181"/>
      <c r="R6" s="181"/>
      <c r="S6" s="181"/>
      <c r="T6" s="182"/>
      <c r="U6" s="543" t="s">
        <v>849</v>
      </c>
      <c r="V6" s="543"/>
      <c r="W6" s="543"/>
      <c r="X6" s="543"/>
      <c r="Y6" s="543"/>
      <c r="Z6" s="547" t="s">
        <v>678</v>
      </c>
      <c r="AA6" s="541" t="s">
        <v>6</v>
      </c>
      <c r="AB6" s="539" t="s">
        <v>892</v>
      </c>
      <c r="AC6" s="298"/>
      <c r="AD6" s="10"/>
      <c r="AE6" s="299" t="s">
        <v>269</v>
      </c>
      <c r="AF6" s="299" t="s">
        <v>270</v>
      </c>
      <c r="AG6" s="300" t="s">
        <v>271</v>
      </c>
      <c r="AH6" s="300" t="s">
        <v>376</v>
      </c>
      <c r="AI6" s="300" t="s">
        <v>378</v>
      </c>
      <c r="AJ6" s="300" t="s">
        <v>377</v>
      </c>
      <c r="AK6" s="300"/>
      <c r="AL6" s="300" t="s">
        <v>272</v>
      </c>
      <c r="AM6" s="299" t="s">
        <v>273</v>
      </c>
      <c r="AN6" s="299" t="s">
        <v>274</v>
      </c>
      <c r="AO6" s="299" t="s">
        <v>275</v>
      </c>
      <c r="AP6" s="299" t="s">
        <v>276</v>
      </c>
      <c r="AQ6" s="299" t="s">
        <v>277</v>
      </c>
      <c r="AR6" s="299" t="s">
        <v>278</v>
      </c>
      <c r="AS6" s="299" t="s">
        <v>279</v>
      </c>
      <c r="AT6" s="299" t="s">
        <v>280</v>
      </c>
      <c r="AU6" s="299" t="s">
        <v>281</v>
      </c>
      <c r="AV6" s="299" t="s">
        <v>282</v>
      </c>
      <c r="AW6" s="299" t="s">
        <v>283</v>
      </c>
      <c r="AX6" s="299" t="s">
        <v>284</v>
      </c>
      <c r="AY6" s="299" t="s">
        <v>285</v>
      </c>
      <c r="AZ6" s="299" t="s">
        <v>286</v>
      </c>
      <c r="BA6" s="300"/>
      <c r="BB6" s="300"/>
    </row>
    <row r="7" spans="1:54" ht="60" customHeight="1">
      <c r="A7" s="542"/>
      <c r="B7" s="542"/>
      <c r="C7" s="542"/>
      <c r="D7" s="542"/>
      <c r="E7" s="549"/>
      <c r="F7" s="549"/>
      <c r="G7" s="549" t="s">
        <v>7</v>
      </c>
      <c r="H7" s="549" t="s">
        <v>8</v>
      </c>
      <c r="I7" s="549"/>
      <c r="J7" s="553"/>
      <c r="K7" s="547" t="s">
        <v>355</v>
      </c>
      <c r="L7" s="536" t="s">
        <v>356</v>
      </c>
      <c r="M7" s="537"/>
      <c r="N7" s="537"/>
      <c r="O7" s="537"/>
      <c r="P7" s="537"/>
      <c r="Q7" s="537"/>
      <c r="R7" s="537"/>
      <c r="S7" s="537"/>
      <c r="T7" s="538"/>
      <c r="U7" s="543" t="s">
        <v>9</v>
      </c>
      <c r="V7" s="543" t="s">
        <v>10</v>
      </c>
      <c r="W7" s="543"/>
      <c r="X7" s="543"/>
      <c r="Y7" s="543"/>
      <c r="Z7" s="551"/>
      <c r="AA7" s="542"/>
      <c r="AB7" s="539"/>
      <c r="AC7" s="298"/>
      <c r="AD7" s="10"/>
      <c r="AE7" s="299"/>
      <c r="AF7" s="299"/>
      <c r="AG7" s="300"/>
      <c r="AH7" s="300"/>
      <c r="AI7" s="300"/>
      <c r="AJ7" s="300"/>
      <c r="AK7" s="288" t="s">
        <v>287</v>
      </c>
      <c r="AL7" s="300">
        <f>COUNTIF(AE9:AE906,"CT")</f>
        <v>0</v>
      </c>
      <c r="AM7" s="58">
        <f>SUMIF(AE9:AE906,"CT",AG9:AG906)</f>
        <v>0</v>
      </c>
      <c r="AN7" s="58">
        <f>SUMIFS($AG$9:$AG$1008,$AE$9:$AE$1008,"CT",$AF$9:$AF$1008,"GT")</f>
        <v>0</v>
      </c>
      <c r="AO7" s="58">
        <f>SUMIFS($AG$9:$AG$1008,$AE$9:$AE$1008,"CT",$AF$9:$AF$1008,"NN-TL")</f>
        <v>0</v>
      </c>
      <c r="AP7" s="58">
        <f>SUMIFS($AG$9:$AG$1008,$AE$9:$AE$1008,"CT",$AF$9:$AF$1008,"GDĐT")</f>
        <v>0</v>
      </c>
      <c r="AQ7" s="58">
        <f>SUMIFS($AG$9:$AG$1008,$AE$9:$AE$1008,"CT",$AF$9:$AF$1008,"YT")</f>
        <v>0</v>
      </c>
      <c r="AR7" s="58">
        <f>SUMIFS($AG$9:$AG$1008,$AE$9:$AE$1008,"CT",$AF$9:$AF$1008,"VH")</f>
        <v>0</v>
      </c>
      <c r="AS7" s="58">
        <f>SUMIFS($AG$9:$AG$1008,$AE$9:$AE$1008,"CT",$AF$9:$AF$1008,"TTTT")</f>
        <v>0</v>
      </c>
      <c r="AT7" s="58">
        <f>SUMIFS($AG$9:$AG$1008,$AE$9:$AE$1008,"CT",$AF$9:$AF$1008,"XH-CC")</f>
        <v>0</v>
      </c>
      <c r="AU7" s="58">
        <f>SUMIFS($AG$9:$AG$1008,$AE$9:$AE$1008,"CT",$AF$9:$AF$1008,"NS")</f>
        <v>0</v>
      </c>
      <c r="AV7" s="58">
        <f>SUMIFS($AG$9:$AG$1008,$AE$9:$AE$1008,"CT",$AF$9:$AF$1008,"TNMT")</f>
        <v>0</v>
      </c>
      <c r="AW7" s="58">
        <f>SUMIFS($AG$9:$AG$1008,$AE$9:$AE$1008,"CT",$AF$9:$AF$1008,"QLNN")</f>
        <v>0</v>
      </c>
      <c r="AX7" s="58">
        <f>SUMIFS($AG$9:$AG$1008,$AE$9:$AE$1008,"CT",$AF$9:$AF$1008,"QPAN")</f>
        <v>0</v>
      </c>
      <c r="AY7" s="58">
        <f>SUMIFS($AG$9:$AG$1008,$AE$9:$AE$1008,"CT",$AF$9:$AF$1008,"PTĐT")</f>
        <v>0</v>
      </c>
      <c r="AZ7" s="58">
        <f>SUMIFS($AG$9:$AG$1008,$AE$9:$AE$1008,"CT",$AF$9:$AF$1008,"TMDV")</f>
        <v>0</v>
      </c>
      <c r="BA7" s="288">
        <f>SUM(AN7:AZ7)</f>
        <v>0</v>
      </c>
      <c r="BB7" s="300"/>
    </row>
    <row r="8" spans="1:54" ht="74.25" customHeight="1">
      <c r="A8" s="542"/>
      <c r="B8" s="542"/>
      <c r="C8" s="542"/>
      <c r="D8" s="550"/>
      <c r="E8" s="549"/>
      <c r="F8" s="549"/>
      <c r="G8" s="549"/>
      <c r="H8" s="301" t="s">
        <v>58</v>
      </c>
      <c r="I8" s="301" t="s">
        <v>59</v>
      </c>
      <c r="J8" s="554"/>
      <c r="K8" s="548"/>
      <c r="L8" s="289" t="s">
        <v>357</v>
      </c>
      <c r="M8" s="289" t="s">
        <v>358</v>
      </c>
      <c r="N8" s="289" t="s">
        <v>362</v>
      </c>
      <c r="O8" s="289" t="s">
        <v>363</v>
      </c>
      <c r="P8" s="289" t="s">
        <v>367</v>
      </c>
      <c r="Q8" s="289" t="s">
        <v>372</v>
      </c>
      <c r="R8" s="289" t="s">
        <v>384</v>
      </c>
      <c r="S8" s="289" t="s">
        <v>397</v>
      </c>
      <c r="T8" s="289" t="s">
        <v>399</v>
      </c>
      <c r="U8" s="543"/>
      <c r="V8" s="289" t="s">
        <v>13</v>
      </c>
      <c r="W8" s="289" t="s">
        <v>361</v>
      </c>
      <c r="X8" s="289" t="s">
        <v>398</v>
      </c>
      <c r="Y8" s="289" t="s">
        <v>499</v>
      </c>
      <c r="Z8" s="548"/>
      <c r="AA8" s="542"/>
      <c r="AB8" s="540"/>
      <c r="AC8" s="298"/>
      <c r="AD8" s="302"/>
      <c r="AE8" s="299"/>
      <c r="AF8" s="299"/>
      <c r="AG8" s="300"/>
      <c r="AH8" s="300">
        <f>SUMIF($AH$9:$AH$904,AH6,$AG$9:$AG$904)</f>
        <v>148900</v>
      </c>
      <c r="AI8" s="300">
        <f>SUMIF($AH$9:$AH$904,AI6,$AG$9:$AG$904)</f>
        <v>386000</v>
      </c>
      <c r="AJ8" s="300">
        <f>SUMIF($AH$9:$AH$904,AJ6,$AG$9:$AG$904)</f>
        <v>0</v>
      </c>
      <c r="AK8" s="300" t="s">
        <v>288</v>
      </c>
      <c r="AL8" s="300">
        <f>COUNTIF(AE9:AE905,"KCM")</f>
        <v>15</v>
      </c>
      <c r="AM8" s="58">
        <f>SUMIF(AE10:AE906,"KCM",AG10:AG906)</f>
        <v>612800</v>
      </c>
      <c r="AN8" s="58">
        <f>SUMIFS($AG$9:$AG$1008,$AE$9:$AE$1008,"KCM",$AF$9:$AF$1008,"GT")</f>
        <v>534900</v>
      </c>
      <c r="AO8" s="58">
        <f>SUMIFS($AG$9:$AG$1008,$AE$9:$AE$1008,"KCM",$AF$9:$AF$1008,"NN-TL")</f>
        <v>26500</v>
      </c>
      <c r="AP8" s="58">
        <f>SUMIFS($AG$9:$AG$1008,$AE$9:$AE$1008,"KCM",$AF$9:$AF$1008,"GDĐT")</f>
        <v>0</v>
      </c>
      <c r="AQ8" s="58">
        <f>SUMIFS($AG$9:$AG$1008,$AE$9:$AE$1008,"KCM",$AF$9:$AF$1008,"YT")</f>
        <v>0</v>
      </c>
      <c r="AR8" s="58">
        <f>SUMIFS($AG$9:$AG$1008,$AE$9:$AE$1008,"KCM",$AF$9:$AF$1008,"VH")</f>
        <v>0</v>
      </c>
      <c r="AS8" s="58">
        <f>SUMIFS($AG$9:$AG$1008,$AE$9:$AE$1008,"KCM",$AF$9:$AF$1008,"TTTT")</f>
        <v>0</v>
      </c>
      <c r="AT8" s="58">
        <f>SUMIFS($AG$9:$AG$1008,$AE$9:$AE$1008,"KCM",$AF$9:$AF$1008,"XH-CC")</f>
        <v>0</v>
      </c>
      <c r="AU8" s="58">
        <f>SUMIFS($AG$9:$AG$1008,$AE$9:$AE$1008,"KCM",$AF$9:$AF$1008,"NS")</f>
        <v>0</v>
      </c>
      <c r="AV8" s="58">
        <f>SUMIFS($AG$9:$AG$1008,$AE$9:$AE$1008,"KCM",$AF$9:$AF$1008,"TNMT")</f>
        <v>0</v>
      </c>
      <c r="AW8" s="58">
        <f>SUMIFS($AG$9:$AG$1008,$AE$9:$AE$1008,"KCM",$AF$9:$AF$1008,"QLNN")</f>
        <v>9600</v>
      </c>
      <c r="AX8" s="58">
        <f>SUMIFS($AG$9:$AG$1008,$AE$9:$AE$1008,"KCM",$AF$9:$AF$1008,"QPAN")</f>
        <v>4800</v>
      </c>
      <c r="AY8" s="58">
        <f>SUMIFS($AG$9:$AG$1008,$AE$9:$AE$1008,"KCM",$AF$9:$AF$1008,"PTĐT")</f>
        <v>0</v>
      </c>
      <c r="AZ8" s="58">
        <f>SUMIFS($AG$9:$AG$1008,$AE$9:$AE$1008,"KCM",$AF$9:$AF$1008,"TMDV")</f>
        <v>37000</v>
      </c>
      <c r="BA8" s="288">
        <f>SUM(AN8:AZ8)</f>
        <v>612800</v>
      </c>
      <c r="BB8" s="300"/>
    </row>
    <row r="9" spans="1:54" s="309" customFormat="1" ht="91.5" customHeight="1">
      <c r="A9" s="303"/>
      <c r="B9" s="304" t="s">
        <v>9</v>
      </c>
      <c r="C9" s="303"/>
      <c r="D9" s="303"/>
      <c r="E9" s="303"/>
      <c r="F9" s="303"/>
      <c r="G9" s="303"/>
      <c r="H9" s="305">
        <f>SUM(H10,H19)</f>
        <v>4278744</v>
      </c>
      <c r="I9" s="305">
        <f t="shared" ref="I9:Z9" si="0">SUM(I10,I19)</f>
        <v>2813972</v>
      </c>
      <c r="J9" s="305">
        <f t="shared" si="0"/>
        <v>2021416</v>
      </c>
      <c r="K9" s="305">
        <f t="shared" si="0"/>
        <v>1542728</v>
      </c>
      <c r="L9" s="305">
        <f t="shared" si="0"/>
        <v>0</v>
      </c>
      <c r="M9" s="305">
        <f t="shared" si="0"/>
        <v>541000</v>
      </c>
      <c r="N9" s="305">
        <f t="shared" si="0"/>
        <v>0</v>
      </c>
      <c r="O9" s="305">
        <f t="shared" si="0"/>
        <v>-21700</v>
      </c>
      <c r="P9" s="305">
        <f t="shared" si="0"/>
        <v>0</v>
      </c>
      <c r="Q9" s="305">
        <f t="shared" si="0"/>
        <v>0</v>
      </c>
      <c r="R9" s="305">
        <f t="shared" si="0"/>
        <v>-5000</v>
      </c>
      <c r="S9" s="305">
        <f t="shared" si="0"/>
        <v>0</v>
      </c>
      <c r="T9" s="305">
        <f t="shared" si="0"/>
        <v>-28000</v>
      </c>
      <c r="U9" s="305">
        <f t="shared" si="0"/>
        <v>1099650</v>
      </c>
      <c r="V9" s="305">
        <f t="shared" si="0"/>
        <v>151200</v>
      </c>
      <c r="W9" s="305">
        <f t="shared" si="0"/>
        <v>193473</v>
      </c>
      <c r="X9" s="305">
        <f t="shared" si="0"/>
        <v>323280</v>
      </c>
      <c r="Y9" s="305">
        <f t="shared" si="0"/>
        <v>431697</v>
      </c>
      <c r="Z9" s="305">
        <f t="shared" si="0"/>
        <v>552610</v>
      </c>
      <c r="AA9" s="164" t="s">
        <v>957</v>
      </c>
      <c r="AB9" s="164">
        <f>570610-Z9</f>
        <v>18000</v>
      </c>
      <c r="AC9" s="239"/>
      <c r="AD9" s="306">
        <f>599610-Z9</f>
        <v>47000</v>
      </c>
      <c r="AE9" s="307"/>
      <c r="AF9" s="307"/>
      <c r="AG9" s="308"/>
      <c r="AH9" s="308"/>
      <c r="AI9" s="308"/>
      <c r="AJ9" s="308"/>
      <c r="AK9" s="308"/>
      <c r="AL9" s="308"/>
      <c r="AM9" s="308"/>
      <c r="AN9" s="308"/>
      <c r="AO9" s="308"/>
      <c r="AP9" s="308"/>
      <c r="AQ9" s="308"/>
      <c r="AR9" s="308"/>
      <c r="AS9" s="308"/>
      <c r="AT9" s="308"/>
      <c r="AU9" s="308"/>
      <c r="AV9" s="308"/>
      <c r="AW9" s="308"/>
      <c r="AX9" s="308"/>
      <c r="AY9" s="308"/>
      <c r="AZ9" s="308"/>
      <c r="BA9" s="308"/>
      <c r="BB9" s="308"/>
    </row>
    <row r="10" spans="1:54" s="316" customFormat="1" ht="72" customHeight="1">
      <c r="A10" s="301" t="s">
        <v>77</v>
      </c>
      <c r="B10" s="310" t="s">
        <v>76</v>
      </c>
      <c r="C10" s="301"/>
      <c r="D10" s="301"/>
      <c r="E10" s="301"/>
      <c r="F10" s="301"/>
      <c r="G10" s="301"/>
      <c r="H10" s="311">
        <f t="shared" ref="H10:K10" si="1">SUM(H11:H18)</f>
        <v>0</v>
      </c>
      <c r="I10" s="311">
        <f t="shared" si="1"/>
        <v>0</v>
      </c>
      <c r="J10" s="311">
        <f>SUM(J11:J18)</f>
        <v>726000</v>
      </c>
      <c r="K10" s="311">
        <f t="shared" si="1"/>
        <v>726000</v>
      </c>
      <c r="L10" s="311">
        <f t="shared" ref="L10:R10" si="2">SUM(L11:L18)</f>
        <v>0</v>
      </c>
      <c r="M10" s="311">
        <f t="shared" si="2"/>
        <v>0</v>
      </c>
      <c r="N10" s="311">
        <f t="shared" si="2"/>
        <v>0</v>
      </c>
      <c r="O10" s="311">
        <f t="shared" si="2"/>
        <v>0</v>
      </c>
      <c r="P10" s="311">
        <f t="shared" si="2"/>
        <v>0</v>
      </c>
      <c r="Q10" s="311">
        <f t="shared" si="2"/>
        <v>0</v>
      </c>
      <c r="R10" s="311">
        <f t="shared" si="2"/>
        <v>0</v>
      </c>
      <c r="S10" s="311">
        <f t="shared" ref="S10:Y10" si="3">SUM(S11:S18)</f>
        <v>0</v>
      </c>
      <c r="T10" s="311">
        <f t="shared" si="3"/>
        <v>0</v>
      </c>
      <c r="U10" s="311">
        <f t="shared" si="3"/>
        <v>580800</v>
      </c>
      <c r="V10" s="311">
        <f t="shared" si="3"/>
        <v>145200</v>
      </c>
      <c r="W10" s="311">
        <f t="shared" si="3"/>
        <v>145200</v>
      </c>
      <c r="X10" s="311">
        <f t="shared" si="3"/>
        <v>145200</v>
      </c>
      <c r="Y10" s="311">
        <f t="shared" si="3"/>
        <v>145200</v>
      </c>
      <c r="Z10" s="311">
        <f>SUM(Z11:Z18)</f>
        <v>145200</v>
      </c>
      <c r="AA10" s="20"/>
      <c r="AB10" s="20"/>
      <c r="AC10" s="240"/>
      <c r="AD10" s="312">
        <f>J10-U10-Z10</f>
        <v>0</v>
      </c>
      <c r="AE10" s="313"/>
      <c r="AF10" s="313"/>
      <c r="AG10" s="314"/>
      <c r="AH10" s="314"/>
      <c r="AI10" s="314"/>
      <c r="AJ10" s="314"/>
      <c r="AK10" s="315" t="s">
        <v>287</v>
      </c>
      <c r="AL10" s="314">
        <f>SUM(AN10:AZ10)</f>
        <v>0</v>
      </c>
      <c r="AM10" s="314"/>
      <c r="AN10" s="314">
        <f>COUNTIFS($AE$9:$AE$906,"CT",$AF$9:$AF$906,"GT")</f>
        <v>0</v>
      </c>
      <c r="AO10" s="314">
        <f>COUNTIFS($AE$9:$AE$906,"CT",$AF$9:$AF$906,"NN-TL")</f>
        <v>0</v>
      </c>
      <c r="AP10" s="314">
        <f>COUNTIFS($AE$9:$AE$906,"CT",$AF$9:$AF$906,"GDĐT")</f>
        <v>0</v>
      </c>
      <c r="AQ10" s="314">
        <f>COUNTIFS($AE$9:$AE$906,"CT",$AF$9:$AF$906,"YT")</f>
        <v>0</v>
      </c>
      <c r="AR10" s="314">
        <f>COUNTIFS($AE$9:$AE$906,"CT",$AF$9:$AF$906,"VH")</f>
        <v>0</v>
      </c>
      <c r="AS10" s="314">
        <f>COUNTIFS($AE$9:$AE$906,"CT",$AF$9:$AF$906,"TTTT")</f>
        <v>0</v>
      </c>
      <c r="AT10" s="314">
        <f>COUNTIFS($AE$9:$AE$906,"CT",$AF$9:$AF$906,"XH-CC")</f>
        <v>0</v>
      </c>
      <c r="AU10" s="314">
        <f>COUNTIFS($AE$9:$AE$906,"CT",$AF$9:$AF$906,"NS")</f>
        <v>0</v>
      </c>
      <c r="AV10" s="314">
        <f>COUNTIFS($AE$9:$AE$906,"CT",$AF$9:$AF$906,"TNMT")</f>
        <v>0</v>
      </c>
      <c r="AW10" s="314">
        <f>COUNTIFS($AE$9:$AE$26,"CT",$AF$9:$AF$26,"QLNN")</f>
        <v>0</v>
      </c>
      <c r="AX10" s="314">
        <f>COUNTIFS($AE$9:$AE$906,"CT",$AF$9:$AF$906,"QPAN")</f>
        <v>0</v>
      </c>
      <c r="AY10" s="314">
        <f>COUNTIFS($AE$9:$AE$906,"CT",$AF$9:$AF$906,"PTĐT")</f>
        <v>0</v>
      </c>
      <c r="AZ10" s="314">
        <f>COUNTIFS($AE$9:$AE$906,"CT",$AF$9:$AF$906,"TMDV")</f>
        <v>0</v>
      </c>
      <c r="BA10" s="314"/>
      <c r="BB10" s="314"/>
    </row>
    <row r="11" spans="1:54" s="309" customFormat="1" ht="39.9" customHeight="1">
      <c r="A11" s="303"/>
      <c r="B11" s="317" t="s">
        <v>68</v>
      </c>
      <c r="C11" s="303"/>
      <c r="D11" s="303"/>
      <c r="E11" s="303"/>
      <c r="F11" s="303"/>
      <c r="G11" s="303"/>
      <c r="H11" s="311"/>
      <c r="I11" s="311"/>
      <c r="J11" s="318">
        <f>SUM(K11,L11:T11)</f>
        <v>130815</v>
      </c>
      <c r="K11" s="284">
        <f t="shared" ref="K11:K18" si="4">V11*5</f>
        <v>130815</v>
      </c>
      <c r="L11" s="25"/>
      <c r="M11" s="25"/>
      <c r="N11" s="25"/>
      <c r="O11" s="25"/>
      <c r="P11" s="25"/>
      <c r="Q11" s="25"/>
      <c r="R11" s="25"/>
      <c r="S11" s="25"/>
      <c r="T11" s="25"/>
      <c r="U11" s="25">
        <f t="shared" ref="U11:U18" si="5">SUM(V11:Y11)</f>
        <v>104652</v>
      </c>
      <c r="V11" s="25">
        <v>26163</v>
      </c>
      <c r="W11" s="25">
        <v>26163</v>
      </c>
      <c r="X11" s="25">
        <v>26163</v>
      </c>
      <c r="Y11" s="25">
        <v>26163</v>
      </c>
      <c r="Z11" s="25">
        <v>26163</v>
      </c>
      <c r="AA11" s="18"/>
      <c r="AB11" s="18"/>
      <c r="AC11" s="241"/>
      <c r="AD11" s="312">
        <f t="shared" ref="AD11:AD51" si="6">J11-U11-Z11</f>
        <v>0</v>
      </c>
      <c r="AE11" s="313"/>
      <c r="AF11" s="313"/>
      <c r="AG11" s="314"/>
      <c r="AH11" s="314"/>
      <c r="AI11" s="314"/>
      <c r="AJ11" s="314"/>
      <c r="AK11" s="319" t="s">
        <v>288</v>
      </c>
      <c r="AL11" s="314">
        <f>SUM(AN11:AZ11)</f>
        <v>15</v>
      </c>
      <c r="AM11" s="314"/>
      <c r="AN11" s="314">
        <f>COUNTIFS($AE$9:$AE$906,"KCM",$AF$9:$AF$906,"GT")</f>
        <v>7</v>
      </c>
      <c r="AO11" s="314">
        <f>COUNTIFS($AE$9:$AE$906,"KCM",$AF$9:$AF$906,"NN-TL")</f>
        <v>2</v>
      </c>
      <c r="AP11" s="314">
        <f>COUNTIFS($AE$9:$AE$906,"KCM",$AF$9:$AF$906,"GDĐT")</f>
        <v>0</v>
      </c>
      <c r="AQ11" s="314">
        <f>COUNTIFS($AE$9:$AE$906,"KCM",$AF$9:$AF$906,"YT")</f>
        <v>0</v>
      </c>
      <c r="AR11" s="314">
        <f>COUNTIFS($AE$9:$AE$906,"KCM",$AF$9:$AF$906,"VH")</f>
        <v>0</v>
      </c>
      <c r="AS11" s="314">
        <f>COUNTIFS($AE$9:$AE$906,"KCM",$AF$9:$AF$906,"TTTT")</f>
        <v>0</v>
      </c>
      <c r="AT11" s="314">
        <f>COUNTIFS($AE$9:$AE$906,"KCM",$AF$9:$AF$906,"XH-CC")</f>
        <v>0</v>
      </c>
      <c r="AU11" s="314">
        <f>COUNTIFS($AE$9:$AE$906,"KCM",$AF$9:$AF$906,"NS")</f>
        <v>0</v>
      </c>
      <c r="AV11" s="314">
        <f>COUNTIFS($AE$9:$AE$906,"KCM",$AF$9:$AF$906,"TNMT")</f>
        <v>0</v>
      </c>
      <c r="AW11" s="314">
        <f>COUNTIFS($AE$9:$AE$906,"KCM",$AF$9:$AF$906,"QLNN")</f>
        <v>1</v>
      </c>
      <c r="AX11" s="314">
        <f>COUNTIFS($AE$9:$AE$906,"KCM",$AF$9:$AF$906,"QPAN")</f>
        <v>4</v>
      </c>
      <c r="AY11" s="314">
        <f>COUNTIFS($AE$9:$AE$906,"KCM",$AF$9:$AF$906,"PTĐT")</f>
        <v>0</v>
      </c>
      <c r="AZ11" s="314">
        <f>COUNTIFS($AE$9:$AE$906,"KCM",$AF$9:$AF$906,"TMDV")</f>
        <v>1</v>
      </c>
      <c r="BA11" s="314"/>
      <c r="BB11" s="314"/>
    </row>
    <row r="12" spans="1:54" s="309" customFormat="1" ht="39.9" customHeight="1">
      <c r="A12" s="303"/>
      <c r="B12" s="317" t="s">
        <v>69</v>
      </c>
      <c r="C12" s="303"/>
      <c r="D12" s="303"/>
      <c r="E12" s="303"/>
      <c r="F12" s="303"/>
      <c r="G12" s="303"/>
      <c r="H12" s="311"/>
      <c r="I12" s="311"/>
      <c r="J12" s="318">
        <f t="shared" ref="J12:J20" si="7">SUM(K12,L12:T12)</f>
        <v>88510</v>
      </c>
      <c r="K12" s="284">
        <f t="shared" si="4"/>
        <v>88510</v>
      </c>
      <c r="L12" s="25"/>
      <c r="M12" s="25"/>
      <c r="N12" s="25"/>
      <c r="O12" s="25"/>
      <c r="P12" s="25"/>
      <c r="Q12" s="25"/>
      <c r="R12" s="25"/>
      <c r="S12" s="25"/>
      <c r="T12" s="25"/>
      <c r="U12" s="25">
        <f t="shared" si="5"/>
        <v>70808</v>
      </c>
      <c r="V12" s="25">
        <v>17702</v>
      </c>
      <c r="W12" s="25">
        <v>17702</v>
      </c>
      <c r="X12" s="25">
        <v>17702</v>
      </c>
      <c r="Y12" s="25">
        <v>17702</v>
      </c>
      <c r="Z12" s="25">
        <v>17702</v>
      </c>
      <c r="AA12" s="18"/>
      <c r="AB12" s="18"/>
      <c r="AC12" s="241"/>
      <c r="AD12" s="312">
        <f t="shared" si="6"/>
        <v>0</v>
      </c>
      <c r="AE12" s="320"/>
      <c r="AF12" s="320"/>
    </row>
    <row r="13" spans="1:54" s="309" customFormat="1" ht="39.9" customHeight="1">
      <c r="A13" s="303"/>
      <c r="B13" s="317" t="s">
        <v>70</v>
      </c>
      <c r="C13" s="303"/>
      <c r="D13" s="303"/>
      <c r="E13" s="303"/>
      <c r="F13" s="303"/>
      <c r="G13" s="303"/>
      <c r="H13" s="311"/>
      <c r="I13" s="311"/>
      <c r="J13" s="318">
        <f t="shared" si="7"/>
        <v>85880</v>
      </c>
      <c r="K13" s="284">
        <f t="shared" si="4"/>
        <v>85880</v>
      </c>
      <c r="L13" s="25"/>
      <c r="M13" s="25"/>
      <c r="N13" s="25"/>
      <c r="O13" s="25"/>
      <c r="P13" s="25"/>
      <c r="Q13" s="25"/>
      <c r="R13" s="25"/>
      <c r="S13" s="25"/>
      <c r="T13" s="25"/>
      <c r="U13" s="25">
        <f t="shared" si="5"/>
        <v>68704</v>
      </c>
      <c r="V13" s="25">
        <v>17176</v>
      </c>
      <c r="W13" s="25">
        <v>17176</v>
      </c>
      <c r="X13" s="25">
        <v>17176</v>
      </c>
      <c r="Y13" s="25">
        <v>17176</v>
      </c>
      <c r="Z13" s="25">
        <v>17176</v>
      </c>
      <c r="AA13" s="18"/>
      <c r="AB13" s="18"/>
      <c r="AC13" s="241"/>
      <c r="AD13" s="312">
        <f t="shared" si="6"/>
        <v>0</v>
      </c>
      <c r="AE13" s="320"/>
      <c r="AF13" s="320"/>
    </row>
    <row r="14" spans="1:54" s="309" customFormat="1" ht="39.9" customHeight="1">
      <c r="A14" s="303"/>
      <c r="B14" s="317" t="s">
        <v>71</v>
      </c>
      <c r="C14" s="303"/>
      <c r="D14" s="303"/>
      <c r="E14" s="303"/>
      <c r="F14" s="303"/>
      <c r="G14" s="303"/>
      <c r="H14" s="311"/>
      <c r="I14" s="311"/>
      <c r="J14" s="318">
        <f t="shared" si="7"/>
        <v>74620</v>
      </c>
      <c r="K14" s="284">
        <f t="shared" si="4"/>
        <v>74620</v>
      </c>
      <c r="L14" s="25"/>
      <c r="M14" s="25"/>
      <c r="N14" s="25"/>
      <c r="O14" s="25"/>
      <c r="P14" s="25"/>
      <c r="Q14" s="25"/>
      <c r="R14" s="25"/>
      <c r="S14" s="25"/>
      <c r="T14" s="25"/>
      <c r="U14" s="25">
        <f t="shared" si="5"/>
        <v>59696</v>
      </c>
      <c r="V14" s="25">
        <v>14924</v>
      </c>
      <c r="W14" s="25">
        <v>14924</v>
      </c>
      <c r="X14" s="25">
        <v>14924</v>
      </c>
      <c r="Y14" s="25">
        <v>14924</v>
      </c>
      <c r="Z14" s="25">
        <v>14924</v>
      </c>
      <c r="AA14" s="18"/>
      <c r="AB14" s="18"/>
      <c r="AC14" s="241"/>
      <c r="AD14" s="312">
        <f t="shared" si="6"/>
        <v>0</v>
      </c>
      <c r="AE14" s="320"/>
      <c r="AF14" s="320"/>
    </row>
    <row r="15" spans="1:54" s="309" customFormat="1" ht="39.9" customHeight="1">
      <c r="A15" s="303"/>
      <c r="B15" s="317" t="s">
        <v>72</v>
      </c>
      <c r="C15" s="303"/>
      <c r="D15" s="303"/>
      <c r="E15" s="303"/>
      <c r="F15" s="303"/>
      <c r="G15" s="303"/>
      <c r="H15" s="311"/>
      <c r="I15" s="311"/>
      <c r="J15" s="318">
        <f t="shared" si="7"/>
        <v>92565</v>
      </c>
      <c r="K15" s="284">
        <f t="shared" si="4"/>
        <v>92565</v>
      </c>
      <c r="L15" s="25"/>
      <c r="M15" s="25"/>
      <c r="N15" s="25"/>
      <c r="O15" s="25"/>
      <c r="P15" s="25"/>
      <c r="Q15" s="25"/>
      <c r="R15" s="25"/>
      <c r="S15" s="25"/>
      <c r="T15" s="25"/>
      <c r="U15" s="25">
        <f t="shared" si="5"/>
        <v>74052</v>
      </c>
      <c r="V15" s="25">
        <v>18513</v>
      </c>
      <c r="W15" s="25">
        <v>18513</v>
      </c>
      <c r="X15" s="25">
        <v>18513</v>
      </c>
      <c r="Y15" s="25">
        <v>18513</v>
      </c>
      <c r="Z15" s="25">
        <v>18513</v>
      </c>
      <c r="AA15" s="18"/>
      <c r="AB15" s="18"/>
      <c r="AC15" s="241"/>
      <c r="AD15" s="312">
        <f t="shared" si="6"/>
        <v>0</v>
      </c>
      <c r="AE15" s="320"/>
      <c r="AF15" s="320"/>
    </row>
    <row r="16" spans="1:54" s="309" customFormat="1" ht="39.9" customHeight="1">
      <c r="A16" s="303"/>
      <c r="B16" s="317" t="s">
        <v>73</v>
      </c>
      <c r="C16" s="303"/>
      <c r="D16" s="303"/>
      <c r="E16" s="303"/>
      <c r="F16" s="303"/>
      <c r="G16" s="303"/>
      <c r="H16" s="311"/>
      <c r="I16" s="311"/>
      <c r="J16" s="318">
        <f t="shared" si="7"/>
        <v>83930</v>
      </c>
      <c r="K16" s="284">
        <f t="shared" si="4"/>
        <v>83930</v>
      </c>
      <c r="L16" s="25"/>
      <c r="M16" s="25"/>
      <c r="N16" s="25"/>
      <c r="O16" s="25"/>
      <c r="P16" s="25"/>
      <c r="Q16" s="25"/>
      <c r="R16" s="25"/>
      <c r="S16" s="25"/>
      <c r="T16" s="25"/>
      <c r="U16" s="25">
        <f t="shared" si="5"/>
        <v>67144</v>
      </c>
      <c r="V16" s="25">
        <v>16786</v>
      </c>
      <c r="W16" s="25">
        <v>16786</v>
      </c>
      <c r="X16" s="25">
        <v>16786</v>
      </c>
      <c r="Y16" s="25">
        <v>16786</v>
      </c>
      <c r="Z16" s="25">
        <v>16786</v>
      </c>
      <c r="AA16" s="18"/>
      <c r="AB16" s="18"/>
      <c r="AC16" s="241"/>
      <c r="AD16" s="312">
        <f t="shared" si="6"/>
        <v>0</v>
      </c>
      <c r="AE16" s="320"/>
      <c r="AF16" s="320"/>
    </row>
    <row r="17" spans="1:36" s="309" customFormat="1" ht="39.9" customHeight="1">
      <c r="A17" s="303"/>
      <c r="B17" s="317" t="s">
        <v>74</v>
      </c>
      <c r="C17" s="303"/>
      <c r="D17" s="303"/>
      <c r="E17" s="303"/>
      <c r="F17" s="303"/>
      <c r="G17" s="303"/>
      <c r="H17" s="311"/>
      <c r="I17" s="311"/>
      <c r="J17" s="318">
        <f t="shared" si="7"/>
        <v>91030</v>
      </c>
      <c r="K17" s="284">
        <f t="shared" si="4"/>
        <v>91030</v>
      </c>
      <c r="L17" s="25"/>
      <c r="M17" s="25"/>
      <c r="N17" s="25"/>
      <c r="O17" s="25"/>
      <c r="P17" s="25"/>
      <c r="Q17" s="25"/>
      <c r="R17" s="25"/>
      <c r="S17" s="25"/>
      <c r="T17" s="25"/>
      <c r="U17" s="25">
        <f t="shared" si="5"/>
        <v>72824</v>
      </c>
      <c r="V17" s="25">
        <v>18206</v>
      </c>
      <c r="W17" s="25">
        <v>18206</v>
      </c>
      <c r="X17" s="25">
        <v>18206</v>
      </c>
      <c r="Y17" s="25">
        <v>18206</v>
      </c>
      <c r="Z17" s="25">
        <v>18206</v>
      </c>
      <c r="AA17" s="18"/>
      <c r="AB17" s="18"/>
      <c r="AC17" s="241"/>
      <c r="AD17" s="312">
        <f t="shared" si="6"/>
        <v>0</v>
      </c>
      <c r="AE17" s="320"/>
      <c r="AF17" s="320"/>
    </row>
    <row r="18" spans="1:36" s="309" customFormat="1" ht="39.9" customHeight="1">
      <c r="A18" s="303"/>
      <c r="B18" s="317" t="s">
        <v>75</v>
      </c>
      <c r="C18" s="303"/>
      <c r="D18" s="303"/>
      <c r="E18" s="303"/>
      <c r="F18" s="303"/>
      <c r="G18" s="303"/>
      <c r="H18" s="311"/>
      <c r="I18" s="311"/>
      <c r="J18" s="318">
        <f t="shared" si="7"/>
        <v>78650</v>
      </c>
      <c r="K18" s="284">
        <f t="shared" si="4"/>
        <v>78650</v>
      </c>
      <c r="L18" s="25"/>
      <c r="M18" s="25"/>
      <c r="N18" s="25"/>
      <c r="O18" s="25"/>
      <c r="P18" s="25"/>
      <c r="Q18" s="25"/>
      <c r="R18" s="25"/>
      <c r="S18" s="25"/>
      <c r="T18" s="25"/>
      <c r="U18" s="25">
        <f t="shared" si="5"/>
        <v>62920</v>
      </c>
      <c r="V18" s="25">
        <v>15730</v>
      </c>
      <c r="W18" s="25">
        <v>15730</v>
      </c>
      <c r="X18" s="25">
        <v>15730</v>
      </c>
      <c r="Y18" s="25">
        <v>15730</v>
      </c>
      <c r="Z18" s="25">
        <v>15730</v>
      </c>
      <c r="AA18" s="18"/>
      <c r="AB18" s="18"/>
      <c r="AC18" s="241"/>
      <c r="AD18" s="312">
        <f t="shared" si="6"/>
        <v>0</v>
      </c>
      <c r="AE18" s="320"/>
      <c r="AF18" s="320"/>
    </row>
    <row r="19" spans="1:36" s="316" customFormat="1" ht="54.75" customHeight="1">
      <c r="A19" s="301" t="s">
        <v>21</v>
      </c>
      <c r="B19" s="310" t="s">
        <v>78</v>
      </c>
      <c r="C19" s="301"/>
      <c r="D19" s="301"/>
      <c r="E19" s="301"/>
      <c r="F19" s="301"/>
      <c r="G19" s="301"/>
      <c r="H19" s="311">
        <f t="shared" ref="H19:Y19" si="8">SUM(H20,H21)</f>
        <v>4278744</v>
      </c>
      <c r="I19" s="311">
        <f t="shared" si="8"/>
        <v>2813972</v>
      </c>
      <c r="J19" s="311">
        <f t="shared" si="8"/>
        <v>1295416</v>
      </c>
      <c r="K19" s="311">
        <f t="shared" si="8"/>
        <v>816728</v>
      </c>
      <c r="L19" s="311">
        <f t="shared" si="8"/>
        <v>0</v>
      </c>
      <c r="M19" s="311">
        <f t="shared" si="8"/>
        <v>541000</v>
      </c>
      <c r="N19" s="311">
        <f t="shared" si="8"/>
        <v>0</v>
      </c>
      <c r="O19" s="311">
        <f t="shared" si="8"/>
        <v>-21700</v>
      </c>
      <c r="P19" s="311">
        <f t="shared" si="8"/>
        <v>0</v>
      </c>
      <c r="Q19" s="311">
        <f t="shared" si="8"/>
        <v>0</v>
      </c>
      <c r="R19" s="311">
        <f t="shared" si="8"/>
        <v>-5000</v>
      </c>
      <c r="S19" s="311">
        <f t="shared" si="8"/>
        <v>0</v>
      </c>
      <c r="T19" s="311">
        <f t="shared" si="8"/>
        <v>-28000</v>
      </c>
      <c r="U19" s="311">
        <f t="shared" si="8"/>
        <v>518850</v>
      </c>
      <c r="V19" s="311">
        <f t="shared" si="8"/>
        <v>6000</v>
      </c>
      <c r="W19" s="311">
        <f t="shared" si="8"/>
        <v>48273</v>
      </c>
      <c r="X19" s="311">
        <f t="shared" si="8"/>
        <v>178080</v>
      </c>
      <c r="Y19" s="311">
        <f t="shared" si="8"/>
        <v>286497</v>
      </c>
      <c r="Z19" s="311">
        <f>SUM(Z20,Z21)</f>
        <v>407410</v>
      </c>
      <c r="AA19" s="20"/>
      <c r="AB19" s="264" t="s">
        <v>928</v>
      </c>
      <c r="AC19" s="240"/>
      <c r="AD19" s="311">
        <f>SUM(AD20:AD56)</f>
        <v>47400</v>
      </c>
      <c r="AE19" s="298"/>
      <c r="AF19" s="298"/>
    </row>
    <row r="20" spans="1:36" s="326" customFormat="1" ht="73.5" customHeight="1">
      <c r="A20" s="321" t="s">
        <v>14</v>
      </c>
      <c r="B20" s="322" t="s">
        <v>79</v>
      </c>
      <c r="C20" s="321"/>
      <c r="D20" s="321"/>
      <c r="E20" s="321"/>
      <c r="F20" s="321"/>
      <c r="G20" s="321"/>
      <c r="H20" s="323"/>
      <c r="I20" s="323"/>
      <c r="J20" s="323">
        <f t="shared" si="7"/>
        <v>75000</v>
      </c>
      <c r="K20" s="323">
        <v>75000</v>
      </c>
      <c r="L20" s="323"/>
      <c r="M20" s="323"/>
      <c r="N20" s="323"/>
      <c r="O20" s="323"/>
      <c r="P20" s="323"/>
      <c r="Q20" s="323"/>
      <c r="R20" s="323"/>
      <c r="S20" s="323"/>
      <c r="T20" s="323"/>
      <c r="U20" s="46">
        <f>SUM(V20:Y20)</f>
        <v>46306</v>
      </c>
      <c r="V20" s="323">
        <v>6000</v>
      </c>
      <c r="W20" s="323">
        <v>8273</v>
      </c>
      <c r="X20" s="324">
        <f>15000-317</f>
        <v>14683</v>
      </c>
      <c r="Y20" s="324">
        <v>17350</v>
      </c>
      <c r="Z20" s="46">
        <v>28694</v>
      </c>
      <c r="AA20" s="29"/>
      <c r="AB20" s="29"/>
      <c r="AC20" s="242"/>
      <c r="AD20" s="46"/>
      <c r="AE20" s="325"/>
      <c r="AF20" s="325"/>
    </row>
    <row r="21" spans="1:36" s="316" customFormat="1" ht="57.75" customHeight="1">
      <c r="A21" s="301" t="s">
        <v>34</v>
      </c>
      <c r="B21" s="310" t="s">
        <v>85</v>
      </c>
      <c r="C21" s="301"/>
      <c r="D21" s="301"/>
      <c r="E21" s="301"/>
      <c r="F21" s="301"/>
      <c r="G21" s="301"/>
      <c r="H21" s="311">
        <f>SUM(H22,H47,H57)</f>
        <v>4278744</v>
      </c>
      <c r="I21" s="311">
        <f t="shared" ref="I21:Z21" si="9">SUM(I22,I47,I57)</f>
        <v>2813972</v>
      </c>
      <c r="J21" s="311">
        <f t="shared" si="9"/>
        <v>1220416</v>
      </c>
      <c r="K21" s="311">
        <f t="shared" si="9"/>
        <v>741728</v>
      </c>
      <c r="L21" s="311">
        <f t="shared" si="9"/>
        <v>0</v>
      </c>
      <c r="M21" s="311">
        <f t="shared" si="9"/>
        <v>541000</v>
      </c>
      <c r="N21" s="311">
        <f t="shared" si="9"/>
        <v>0</v>
      </c>
      <c r="O21" s="311">
        <f t="shared" si="9"/>
        <v>-21700</v>
      </c>
      <c r="P21" s="311">
        <f t="shared" si="9"/>
        <v>0</v>
      </c>
      <c r="Q21" s="311">
        <f t="shared" si="9"/>
        <v>0</v>
      </c>
      <c r="R21" s="311">
        <f t="shared" si="9"/>
        <v>-5000</v>
      </c>
      <c r="S21" s="311">
        <f t="shared" si="9"/>
        <v>0</v>
      </c>
      <c r="T21" s="311">
        <f t="shared" si="9"/>
        <v>-28000</v>
      </c>
      <c r="U21" s="311">
        <f t="shared" si="9"/>
        <v>472544</v>
      </c>
      <c r="V21" s="311">
        <f t="shared" si="9"/>
        <v>0</v>
      </c>
      <c r="W21" s="311">
        <f t="shared" si="9"/>
        <v>40000</v>
      </c>
      <c r="X21" s="311">
        <f t="shared" si="9"/>
        <v>163397</v>
      </c>
      <c r="Y21" s="311">
        <f t="shared" si="9"/>
        <v>269147</v>
      </c>
      <c r="Z21" s="311">
        <f t="shared" si="9"/>
        <v>378716</v>
      </c>
      <c r="AA21" s="20"/>
      <c r="AB21" s="20"/>
      <c r="AC21" s="240"/>
      <c r="AD21" s="312"/>
      <c r="AE21" s="298"/>
      <c r="AF21" s="298"/>
    </row>
    <row r="22" spans="1:36" s="316" customFormat="1" ht="60" customHeight="1">
      <c r="A22" s="301" t="s">
        <v>295</v>
      </c>
      <c r="B22" s="310" t="s">
        <v>62</v>
      </c>
      <c r="C22" s="301"/>
      <c r="D22" s="301"/>
      <c r="E22" s="301"/>
      <c r="F22" s="301"/>
      <c r="G22" s="301"/>
      <c r="H22" s="311">
        <f t="shared" ref="H22:Y22" si="10">SUM(H23,H36,H38,H41,H45)</f>
        <v>4220123</v>
      </c>
      <c r="I22" s="311">
        <f t="shared" si="10"/>
        <v>2784428</v>
      </c>
      <c r="J22" s="311">
        <f t="shared" si="10"/>
        <v>1128716</v>
      </c>
      <c r="K22" s="311">
        <f t="shared" si="10"/>
        <v>611328</v>
      </c>
      <c r="L22" s="311">
        <f t="shared" si="10"/>
        <v>0</v>
      </c>
      <c r="M22" s="311">
        <f t="shared" si="10"/>
        <v>541000</v>
      </c>
      <c r="N22" s="311">
        <f t="shared" si="10"/>
        <v>0</v>
      </c>
      <c r="O22" s="311">
        <f t="shared" si="10"/>
        <v>17000</v>
      </c>
      <c r="P22" s="311">
        <f t="shared" si="10"/>
        <v>0</v>
      </c>
      <c r="Q22" s="311">
        <f t="shared" si="10"/>
        <v>0</v>
      </c>
      <c r="R22" s="311">
        <f t="shared" si="10"/>
        <v>-5000</v>
      </c>
      <c r="S22" s="311">
        <f t="shared" si="10"/>
        <v>0</v>
      </c>
      <c r="T22" s="311">
        <f t="shared" si="10"/>
        <v>-28000</v>
      </c>
      <c r="U22" s="311">
        <f t="shared" si="10"/>
        <v>472544</v>
      </c>
      <c r="V22" s="311">
        <f t="shared" si="10"/>
        <v>0</v>
      </c>
      <c r="W22" s="311">
        <f t="shared" si="10"/>
        <v>40000</v>
      </c>
      <c r="X22" s="311">
        <f t="shared" si="10"/>
        <v>163397</v>
      </c>
      <c r="Y22" s="311">
        <f t="shared" si="10"/>
        <v>269147</v>
      </c>
      <c r="Z22" s="311">
        <f>SUM(Z23,Z36,Z38,Z41,Z45)</f>
        <v>312843</v>
      </c>
      <c r="AA22" s="20"/>
      <c r="AB22" s="20"/>
      <c r="AC22" s="240"/>
      <c r="AD22" s="312"/>
      <c r="AE22" s="298"/>
      <c r="AF22" s="298"/>
    </row>
    <row r="23" spans="1:36" s="333" customFormat="1" ht="44.25" customHeight="1">
      <c r="A23" s="327" t="s">
        <v>16</v>
      </c>
      <c r="B23" s="328" t="s">
        <v>56</v>
      </c>
      <c r="C23" s="328"/>
      <c r="D23" s="327"/>
      <c r="E23" s="328"/>
      <c r="F23" s="328"/>
      <c r="G23" s="328"/>
      <c r="H23" s="329">
        <f>SUM(H24:H35)</f>
        <v>4068223</v>
      </c>
      <c r="I23" s="329">
        <f t="shared" ref="I23:Y23" si="11">SUM(I24:I35)</f>
        <v>2641176</v>
      </c>
      <c r="J23" s="329">
        <f t="shared" si="11"/>
        <v>991988</v>
      </c>
      <c r="K23" s="329">
        <f t="shared" si="11"/>
        <v>514000</v>
      </c>
      <c r="L23" s="329">
        <f t="shared" si="11"/>
        <v>0</v>
      </c>
      <c r="M23" s="329">
        <f t="shared" si="11"/>
        <v>541000</v>
      </c>
      <c r="N23" s="329">
        <f t="shared" si="11"/>
        <v>0</v>
      </c>
      <c r="O23" s="329">
        <f t="shared" si="11"/>
        <v>0</v>
      </c>
      <c r="P23" s="329">
        <f t="shared" si="11"/>
        <v>0</v>
      </c>
      <c r="Q23" s="329">
        <f t="shared" si="11"/>
        <v>0</v>
      </c>
      <c r="R23" s="329">
        <f t="shared" si="11"/>
        <v>-11000</v>
      </c>
      <c r="S23" s="329">
        <f t="shared" si="11"/>
        <v>0</v>
      </c>
      <c r="T23" s="329">
        <f t="shared" si="11"/>
        <v>-34400</v>
      </c>
      <c r="U23" s="329">
        <f t="shared" si="11"/>
        <v>375016</v>
      </c>
      <c r="V23" s="329">
        <f t="shared" si="11"/>
        <v>0</v>
      </c>
      <c r="W23" s="329">
        <f t="shared" si="11"/>
        <v>0</v>
      </c>
      <c r="X23" s="329">
        <f t="shared" si="11"/>
        <v>146397</v>
      </c>
      <c r="Y23" s="329">
        <f t="shared" si="11"/>
        <v>228619</v>
      </c>
      <c r="Z23" s="329">
        <f>SUM(Z24:Z35)</f>
        <v>276143</v>
      </c>
      <c r="AA23" s="330"/>
      <c r="AB23" s="330"/>
      <c r="AC23" s="331"/>
      <c r="AD23" s="312"/>
      <c r="AE23" s="332"/>
      <c r="AF23" s="332"/>
    </row>
    <row r="24" spans="1:36" ht="58.5" customHeight="1">
      <c r="A24" s="334">
        <v>1</v>
      </c>
      <c r="B24" s="335" t="s">
        <v>451</v>
      </c>
      <c r="C24" s="336" t="s">
        <v>17</v>
      </c>
      <c r="D24" s="337" t="s">
        <v>21</v>
      </c>
      <c r="E24" s="338" t="s">
        <v>452</v>
      </c>
      <c r="F24" s="338" t="s">
        <v>39</v>
      </c>
      <c r="G24" s="339" t="s">
        <v>698</v>
      </c>
      <c r="H24" s="283">
        <v>156541</v>
      </c>
      <c r="I24" s="283">
        <v>150000</v>
      </c>
      <c r="J24" s="318">
        <f>SUM(K24,L24:T24)+25000</f>
        <v>155000</v>
      </c>
      <c r="K24" s="283">
        <v>130000</v>
      </c>
      <c r="L24" s="283"/>
      <c r="M24" s="283"/>
      <c r="N24" s="283"/>
      <c r="O24" s="283"/>
      <c r="P24" s="283"/>
      <c r="Q24" s="283"/>
      <c r="R24" s="283"/>
      <c r="S24" s="283"/>
      <c r="T24" s="283"/>
      <c r="U24" s="25">
        <f t="shared" ref="U24:U35" si="12">SUM(V24:Y24)</f>
        <v>130000</v>
      </c>
      <c r="V24" s="283"/>
      <c r="W24" s="283"/>
      <c r="X24" s="283">
        <v>107013</v>
      </c>
      <c r="Y24" s="340">
        <v>22987</v>
      </c>
      <c r="Z24" s="25">
        <v>25000</v>
      </c>
      <c r="AA24" s="341"/>
      <c r="AB24" s="342" t="s">
        <v>887</v>
      </c>
      <c r="AC24" s="343" t="s">
        <v>456</v>
      </c>
      <c r="AD24" s="312">
        <f t="shared" si="6"/>
        <v>0</v>
      </c>
      <c r="AG24" s="302"/>
      <c r="AH24" s="302"/>
      <c r="AI24" s="302"/>
      <c r="AJ24" s="302"/>
    </row>
    <row r="25" spans="1:36" ht="113.25" customHeight="1">
      <c r="A25" s="334">
        <f t="shared" ref="A25:A35" si="13">+A24+1</f>
        <v>2</v>
      </c>
      <c r="B25" s="335" t="s">
        <v>219</v>
      </c>
      <c r="C25" s="281" t="s">
        <v>65</v>
      </c>
      <c r="D25" s="337" t="s">
        <v>21</v>
      </c>
      <c r="E25" s="281" t="s">
        <v>224</v>
      </c>
      <c r="F25" s="281" t="s">
        <v>39</v>
      </c>
      <c r="G25" s="344" t="s">
        <v>699</v>
      </c>
      <c r="H25" s="345">
        <v>223311</v>
      </c>
      <c r="I25" s="340">
        <f>H25-142000</f>
        <v>81311</v>
      </c>
      <c r="J25" s="318">
        <f>SUM(K25,L25:T25)+22000</f>
        <v>52000</v>
      </c>
      <c r="K25" s="25">
        <v>60000</v>
      </c>
      <c r="L25" s="283"/>
      <c r="M25" s="283">
        <v>-30000</v>
      </c>
      <c r="N25" s="283"/>
      <c r="O25" s="283"/>
      <c r="P25" s="283"/>
      <c r="Q25" s="283"/>
      <c r="R25" s="283"/>
      <c r="S25" s="283"/>
      <c r="T25" s="283"/>
      <c r="U25" s="25">
        <f t="shared" si="12"/>
        <v>10000</v>
      </c>
      <c r="V25" s="25"/>
      <c r="W25" s="283"/>
      <c r="X25" s="283"/>
      <c r="Y25" s="340">
        <v>10000</v>
      </c>
      <c r="Z25" s="25">
        <v>42000</v>
      </c>
      <c r="AA25" s="341"/>
      <c r="AB25" s="342" t="s">
        <v>930</v>
      </c>
      <c r="AC25" s="343" t="s">
        <v>500</v>
      </c>
      <c r="AD25" s="312">
        <f t="shared" si="6"/>
        <v>0</v>
      </c>
      <c r="AE25" s="293" t="s">
        <v>290</v>
      </c>
      <c r="AF25" s="293" t="s">
        <v>291</v>
      </c>
      <c r="AG25" s="302">
        <f>J25</f>
        <v>52000</v>
      </c>
      <c r="AH25" s="302" t="s">
        <v>378</v>
      </c>
      <c r="AI25" s="302"/>
      <c r="AJ25" s="302"/>
    </row>
    <row r="26" spans="1:36" ht="95.25" customHeight="1">
      <c r="A26" s="334">
        <f t="shared" si="13"/>
        <v>3</v>
      </c>
      <c r="B26" s="335" t="s">
        <v>349</v>
      </c>
      <c r="C26" s="281" t="s">
        <v>222</v>
      </c>
      <c r="D26" s="337" t="s">
        <v>21</v>
      </c>
      <c r="E26" s="281" t="s">
        <v>225</v>
      </c>
      <c r="F26" s="281" t="s">
        <v>101</v>
      </c>
      <c r="G26" s="339" t="s">
        <v>602</v>
      </c>
      <c r="H26" s="283">
        <v>891966</v>
      </c>
      <c r="I26" s="283">
        <v>891966</v>
      </c>
      <c r="J26" s="318">
        <f>SUM(K26,L26:T26)</f>
        <v>300000</v>
      </c>
      <c r="K26" s="25">
        <v>50000</v>
      </c>
      <c r="L26" s="283"/>
      <c r="M26" s="283">
        <v>610000</v>
      </c>
      <c r="N26" s="283"/>
      <c r="O26" s="283"/>
      <c r="P26" s="283"/>
      <c r="Q26" s="283"/>
      <c r="R26" s="283">
        <v>-11000</v>
      </c>
      <c r="S26" s="283"/>
      <c r="T26" s="283">
        <v>-349000</v>
      </c>
      <c r="U26" s="25">
        <f t="shared" si="12"/>
        <v>37000</v>
      </c>
      <c r="V26" s="25"/>
      <c r="W26" s="283"/>
      <c r="X26" s="283"/>
      <c r="Y26" s="340">
        <v>37000</v>
      </c>
      <c r="Z26" s="25">
        <v>1000</v>
      </c>
      <c r="AA26" s="346" t="s">
        <v>937</v>
      </c>
      <c r="AB26" s="346" t="s">
        <v>888</v>
      </c>
      <c r="AC26" s="347" t="s">
        <v>943</v>
      </c>
      <c r="AD26" s="312">
        <f>J26-U26-Z26-246000</f>
        <v>16000</v>
      </c>
      <c r="AE26" s="293" t="s">
        <v>290</v>
      </c>
      <c r="AF26" s="293" t="s">
        <v>291</v>
      </c>
      <c r="AG26" s="302">
        <f>J26</f>
        <v>300000</v>
      </c>
      <c r="AH26" s="302" t="s">
        <v>378</v>
      </c>
      <c r="AI26" s="302"/>
      <c r="AJ26" s="302"/>
    </row>
    <row r="27" spans="1:36" ht="69" customHeight="1">
      <c r="A27" s="334">
        <f t="shared" si="13"/>
        <v>4</v>
      </c>
      <c r="B27" s="335" t="s">
        <v>453</v>
      </c>
      <c r="C27" s="281" t="s">
        <v>454</v>
      </c>
      <c r="D27" s="337" t="s">
        <v>21</v>
      </c>
      <c r="E27" s="281" t="s">
        <v>455</v>
      </c>
      <c r="F27" s="281" t="s">
        <v>240</v>
      </c>
      <c r="G27" s="348" t="s">
        <v>691</v>
      </c>
      <c r="H27" s="340">
        <v>206092</v>
      </c>
      <c r="I27" s="340">
        <f>H27-115000</f>
        <v>91092</v>
      </c>
      <c r="J27" s="318">
        <f>SUM(K27,L27:T27)+28788</f>
        <v>29788</v>
      </c>
      <c r="K27" s="25">
        <v>40000</v>
      </c>
      <c r="L27" s="283"/>
      <c r="M27" s="283">
        <v>-39000</v>
      </c>
      <c r="N27" s="283"/>
      <c r="O27" s="283"/>
      <c r="P27" s="283"/>
      <c r="Q27" s="283"/>
      <c r="R27" s="283"/>
      <c r="S27" s="283"/>
      <c r="T27" s="283"/>
      <c r="U27" s="25">
        <f t="shared" si="12"/>
        <v>1000</v>
      </c>
      <c r="V27" s="25"/>
      <c r="W27" s="283"/>
      <c r="X27" s="283"/>
      <c r="Y27" s="340">
        <v>1000</v>
      </c>
      <c r="Z27" s="25">
        <v>10788</v>
      </c>
      <c r="AA27" s="341"/>
      <c r="AB27" s="342" t="s">
        <v>946</v>
      </c>
      <c r="AC27" s="343" t="s">
        <v>947</v>
      </c>
      <c r="AD27" s="312">
        <f>J27-U27-Z27</f>
        <v>18000</v>
      </c>
      <c r="AG27" s="302"/>
      <c r="AH27" s="302"/>
      <c r="AI27" s="302"/>
      <c r="AJ27" s="302"/>
    </row>
    <row r="28" spans="1:36" ht="57" customHeight="1">
      <c r="A28" s="334">
        <f t="shared" si="13"/>
        <v>5</v>
      </c>
      <c r="B28" s="335" t="s">
        <v>229</v>
      </c>
      <c r="C28" s="338" t="s">
        <v>178</v>
      </c>
      <c r="D28" s="337" t="s">
        <v>19</v>
      </c>
      <c r="E28" s="338" t="s">
        <v>232</v>
      </c>
      <c r="F28" s="338" t="s">
        <v>39</v>
      </c>
      <c r="G28" s="349" t="s">
        <v>700</v>
      </c>
      <c r="H28" s="340">
        <v>52000</v>
      </c>
      <c r="I28" s="340">
        <v>25000</v>
      </c>
      <c r="J28" s="318">
        <f t="shared" ref="J28:J34" si="14">SUM(K28,L28:T28)</f>
        <v>25000</v>
      </c>
      <c r="K28" s="283">
        <v>25000</v>
      </c>
      <c r="L28" s="283"/>
      <c r="M28" s="283"/>
      <c r="N28" s="283"/>
      <c r="O28" s="283"/>
      <c r="P28" s="283"/>
      <c r="Q28" s="283"/>
      <c r="R28" s="283"/>
      <c r="S28" s="283"/>
      <c r="T28" s="283"/>
      <c r="U28" s="25">
        <f t="shared" si="12"/>
        <v>15000</v>
      </c>
      <c r="V28" s="25"/>
      <c r="W28" s="283"/>
      <c r="X28" s="283">
        <v>5000</v>
      </c>
      <c r="Y28" s="340">
        <v>10000</v>
      </c>
      <c r="Z28" s="25">
        <v>10000</v>
      </c>
      <c r="AA28" s="341"/>
      <c r="AB28" s="341" t="s">
        <v>879</v>
      </c>
      <c r="AC28" s="350"/>
      <c r="AD28" s="312">
        <f t="shared" si="6"/>
        <v>0</v>
      </c>
      <c r="AE28" s="293" t="s">
        <v>290</v>
      </c>
      <c r="AF28" s="293" t="s">
        <v>291</v>
      </c>
      <c r="AG28" s="302">
        <f>J28</f>
        <v>25000</v>
      </c>
      <c r="AH28" s="302" t="s">
        <v>378</v>
      </c>
      <c r="AI28" s="302"/>
      <c r="AJ28" s="302"/>
    </row>
    <row r="29" spans="1:36" ht="57" customHeight="1">
      <c r="A29" s="334">
        <f t="shared" si="13"/>
        <v>6</v>
      </c>
      <c r="B29" s="335" t="s">
        <v>230</v>
      </c>
      <c r="C29" s="338" t="s">
        <v>231</v>
      </c>
      <c r="D29" s="337" t="s">
        <v>19</v>
      </c>
      <c r="E29" s="351" t="s">
        <v>233</v>
      </c>
      <c r="F29" s="351" t="s">
        <v>39</v>
      </c>
      <c r="G29" s="352" t="s">
        <v>701</v>
      </c>
      <c r="H29" s="353">
        <v>13118</v>
      </c>
      <c r="I29" s="353">
        <v>9000</v>
      </c>
      <c r="J29" s="318">
        <f t="shared" si="14"/>
        <v>9000</v>
      </c>
      <c r="K29" s="354">
        <v>9000</v>
      </c>
      <c r="L29" s="283"/>
      <c r="M29" s="283"/>
      <c r="N29" s="283"/>
      <c r="O29" s="283"/>
      <c r="P29" s="283"/>
      <c r="Q29" s="283"/>
      <c r="R29" s="283"/>
      <c r="S29" s="283"/>
      <c r="T29" s="283"/>
      <c r="U29" s="25">
        <f t="shared" si="12"/>
        <v>6000</v>
      </c>
      <c r="V29" s="25"/>
      <c r="W29" s="283"/>
      <c r="X29" s="283"/>
      <c r="Y29" s="340">
        <v>6000</v>
      </c>
      <c r="Z29" s="25">
        <v>3000</v>
      </c>
      <c r="AA29" s="341"/>
      <c r="AB29" s="341" t="s">
        <v>879</v>
      </c>
      <c r="AC29" s="350"/>
      <c r="AD29" s="312">
        <f t="shared" si="6"/>
        <v>0</v>
      </c>
      <c r="AE29" s="293" t="s">
        <v>290</v>
      </c>
      <c r="AF29" s="293" t="s">
        <v>291</v>
      </c>
      <c r="AG29" s="302">
        <f>J29</f>
        <v>9000</v>
      </c>
      <c r="AH29" s="302" t="s">
        <v>378</v>
      </c>
      <c r="AI29" s="302"/>
      <c r="AJ29" s="302"/>
    </row>
    <row r="30" spans="1:36" ht="73.5" customHeight="1">
      <c r="A30" s="334">
        <f t="shared" si="13"/>
        <v>7</v>
      </c>
      <c r="B30" s="335" t="s">
        <v>43</v>
      </c>
      <c r="C30" s="281" t="s">
        <v>52</v>
      </c>
      <c r="D30" s="337" t="s">
        <v>21</v>
      </c>
      <c r="E30" s="281" t="s">
        <v>44</v>
      </c>
      <c r="F30" s="281" t="s">
        <v>45</v>
      </c>
      <c r="G30" s="355" t="s">
        <v>702</v>
      </c>
      <c r="H30" s="356">
        <v>133007</v>
      </c>
      <c r="I30" s="356">
        <v>51000</v>
      </c>
      <c r="J30" s="318">
        <f>SUM(K30,L30:T30)-2400</f>
        <v>22600</v>
      </c>
      <c r="K30" s="283">
        <v>50000</v>
      </c>
      <c r="L30" s="283"/>
      <c r="M30" s="283"/>
      <c r="N30" s="283"/>
      <c r="O30" s="283"/>
      <c r="P30" s="283"/>
      <c r="Q30" s="283"/>
      <c r="R30" s="283"/>
      <c r="S30" s="283"/>
      <c r="T30" s="283">
        <v>-25000</v>
      </c>
      <c r="U30" s="25">
        <f t="shared" si="12"/>
        <v>13300</v>
      </c>
      <c r="V30" s="25"/>
      <c r="W30" s="283"/>
      <c r="X30" s="283">
        <v>600</v>
      </c>
      <c r="Y30" s="283">
        <v>12700</v>
      </c>
      <c r="Z30" s="25">
        <v>5300</v>
      </c>
      <c r="AA30" s="158"/>
      <c r="AB30" s="268" t="s">
        <v>889</v>
      </c>
      <c r="AC30" s="263" t="s">
        <v>944</v>
      </c>
      <c r="AD30" s="312">
        <f>J30-U30-Z30</f>
        <v>4000</v>
      </c>
      <c r="AE30" s="293" t="s">
        <v>290</v>
      </c>
      <c r="AF30" s="293" t="s">
        <v>291</v>
      </c>
      <c r="AG30" s="302">
        <f>J30</f>
        <v>22600</v>
      </c>
      <c r="AH30" s="302" t="s">
        <v>376</v>
      </c>
      <c r="AI30" s="302"/>
      <c r="AJ30" s="302"/>
    </row>
    <row r="31" spans="1:36" ht="101.25" customHeight="1">
      <c r="A31" s="334">
        <f t="shared" si="13"/>
        <v>8</v>
      </c>
      <c r="B31" s="335" t="s">
        <v>359</v>
      </c>
      <c r="C31" s="281" t="s">
        <v>220</v>
      </c>
      <c r="D31" s="337" t="s">
        <v>21</v>
      </c>
      <c r="E31" s="281" t="s">
        <v>223</v>
      </c>
      <c r="F31" s="281" t="s">
        <v>39</v>
      </c>
      <c r="G31" s="282" t="s">
        <v>360</v>
      </c>
      <c r="H31" s="283">
        <v>1493000</v>
      </c>
      <c r="I31" s="283">
        <v>493000</v>
      </c>
      <c r="J31" s="318">
        <f t="shared" si="14"/>
        <v>164600</v>
      </c>
      <c r="K31" s="283"/>
      <c r="L31" s="283"/>
      <c r="M31" s="283"/>
      <c r="N31" s="283"/>
      <c r="O31" s="283"/>
      <c r="P31" s="283"/>
      <c r="Q31" s="283"/>
      <c r="R31" s="283"/>
      <c r="S31" s="283"/>
      <c r="T31" s="283">
        <v>164600</v>
      </c>
      <c r="U31" s="25">
        <f t="shared" si="12"/>
        <v>93671</v>
      </c>
      <c r="V31" s="25"/>
      <c r="W31" s="283"/>
      <c r="X31" s="283">
        <v>31739</v>
      </c>
      <c r="Y31" s="22">
        <v>61932</v>
      </c>
      <c r="Z31" s="25">
        <v>30000</v>
      </c>
      <c r="AA31" s="346" t="s">
        <v>936</v>
      </c>
      <c r="AB31" s="346" t="s">
        <v>890</v>
      </c>
      <c r="AC31" s="347"/>
      <c r="AD31" s="312">
        <f>J31-U31-Z31-40929</f>
        <v>0</v>
      </c>
      <c r="AG31" s="302"/>
      <c r="AH31" s="302"/>
      <c r="AI31" s="302"/>
      <c r="AJ31" s="302"/>
    </row>
    <row r="32" spans="1:36" ht="63.75" customHeight="1">
      <c r="A32" s="334">
        <f t="shared" si="13"/>
        <v>9</v>
      </c>
      <c r="B32" s="335" t="s">
        <v>400</v>
      </c>
      <c r="C32" s="281" t="s">
        <v>846</v>
      </c>
      <c r="D32" s="337" t="s">
        <v>21</v>
      </c>
      <c r="E32" s="281" t="s">
        <v>402</v>
      </c>
      <c r="F32" s="281" t="s">
        <v>403</v>
      </c>
      <c r="G32" s="357" t="s">
        <v>703</v>
      </c>
      <c r="H32" s="318">
        <v>87399</v>
      </c>
      <c r="I32" s="356">
        <v>65000</v>
      </c>
      <c r="J32" s="318">
        <f>SUM(K32,L32:T32)-15000</f>
        <v>65000</v>
      </c>
      <c r="K32" s="283"/>
      <c r="L32" s="283"/>
      <c r="M32" s="283"/>
      <c r="N32" s="283"/>
      <c r="O32" s="283"/>
      <c r="P32" s="283"/>
      <c r="Q32" s="283"/>
      <c r="R32" s="283"/>
      <c r="S32" s="283"/>
      <c r="T32" s="283">
        <v>80000</v>
      </c>
      <c r="U32" s="25">
        <f t="shared" si="12"/>
        <v>30000</v>
      </c>
      <c r="V32" s="25"/>
      <c r="W32" s="283"/>
      <c r="X32" s="283"/>
      <c r="Y32" s="340">
        <v>30000</v>
      </c>
      <c r="Z32" s="25">
        <v>35000</v>
      </c>
      <c r="AA32" s="158"/>
      <c r="AB32" s="346" t="s">
        <v>891</v>
      </c>
      <c r="AC32" s="263" t="s">
        <v>820</v>
      </c>
      <c r="AD32" s="312">
        <f t="shared" si="6"/>
        <v>0</v>
      </c>
      <c r="AG32" s="302"/>
      <c r="AH32" s="302"/>
      <c r="AI32" s="302"/>
      <c r="AJ32" s="302"/>
    </row>
    <row r="33" spans="1:36" ht="78.75" customHeight="1">
      <c r="A33" s="334">
        <f t="shared" si="13"/>
        <v>10</v>
      </c>
      <c r="B33" s="335" t="s">
        <v>401</v>
      </c>
      <c r="C33" s="281" t="s">
        <v>846</v>
      </c>
      <c r="D33" s="337" t="s">
        <v>21</v>
      </c>
      <c r="E33" s="281" t="s">
        <v>404</v>
      </c>
      <c r="F33" s="281" t="s">
        <v>403</v>
      </c>
      <c r="G33" s="357" t="s">
        <v>704</v>
      </c>
      <c r="H33" s="318">
        <v>107982</v>
      </c>
      <c r="I33" s="356">
        <v>80000</v>
      </c>
      <c r="J33" s="318">
        <f t="shared" si="14"/>
        <v>80000</v>
      </c>
      <c r="K33" s="283"/>
      <c r="L33" s="283"/>
      <c r="M33" s="283"/>
      <c r="N33" s="283"/>
      <c r="O33" s="283"/>
      <c r="P33" s="283"/>
      <c r="Q33" s="283"/>
      <c r="R33" s="283"/>
      <c r="S33" s="283"/>
      <c r="T33" s="283">
        <v>80000</v>
      </c>
      <c r="U33" s="25">
        <f t="shared" si="12"/>
        <v>37000</v>
      </c>
      <c r="V33" s="25"/>
      <c r="W33" s="283"/>
      <c r="X33" s="283"/>
      <c r="Y33" s="340">
        <v>37000</v>
      </c>
      <c r="Z33" s="25">
        <v>43000</v>
      </c>
      <c r="AA33" s="358"/>
      <c r="AB33" s="341" t="s">
        <v>879</v>
      </c>
      <c r="AD33" s="312">
        <f t="shared" si="6"/>
        <v>0</v>
      </c>
      <c r="AG33" s="302"/>
      <c r="AH33" s="302"/>
      <c r="AI33" s="302"/>
      <c r="AJ33" s="302"/>
    </row>
    <row r="34" spans="1:36" ht="78.75" customHeight="1">
      <c r="A34" s="334">
        <f t="shared" si="13"/>
        <v>11</v>
      </c>
      <c r="B34" s="335" t="s">
        <v>42</v>
      </c>
      <c r="C34" s="334" t="s">
        <v>268</v>
      </c>
      <c r="D34" s="337" t="s">
        <v>21</v>
      </c>
      <c r="E34" s="334" t="s">
        <v>226</v>
      </c>
      <c r="F34" s="334" t="s">
        <v>101</v>
      </c>
      <c r="G34" s="357" t="s">
        <v>637</v>
      </c>
      <c r="H34" s="359">
        <v>492380</v>
      </c>
      <c r="I34" s="359">
        <v>492380</v>
      </c>
      <c r="J34" s="318">
        <f t="shared" si="14"/>
        <v>65000</v>
      </c>
      <c r="K34" s="36">
        <v>150000</v>
      </c>
      <c r="L34" s="283"/>
      <c r="M34" s="283"/>
      <c r="N34" s="283"/>
      <c r="O34" s="283"/>
      <c r="P34" s="283"/>
      <c r="Q34" s="283"/>
      <c r="R34" s="283"/>
      <c r="S34" s="283"/>
      <c r="T34" s="283">
        <v>-85000</v>
      </c>
      <c r="U34" s="25">
        <f t="shared" si="12"/>
        <v>2045</v>
      </c>
      <c r="V34" s="25"/>
      <c r="W34" s="283"/>
      <c r="X34" s="283">
        <v>2045</v>
      </c>
      <c r="Y34" s="283"/>
      <c r="Z34" s="25">
        <v>62955</v>
      </c>
      <c r="AA34" s="358"/>
      <c r="AB34" s="341" t="s">
        <v>879</v>
      </c>
      <c r="AD34" s="312">
        <f t="shared" si="6"/>
        <v>0</v>
      </c>
      <c r="AE34" s="293" t="s">
        <v>290</v>
      </c>
      <c r="AF34" s="293" t="s">
        <v>291</v>
      </c>
      <c r="AG34" s="302">
        <f>J34</f>
        <v>65000</v>
      </c>
      <c r="AH34" s="302" t="s">
        <v>376</v>
      </c>
      <c r="AI34" s="302"/>
      <c r="AJ34" s="302"/>
    </row>
    <row r="35" spans="1:36" ht="75" customHeight="1">
      <c r="A35" s="334">
        <f t="shared" si="13"/>
        <v>12</v>
      </c>
      <c r="B35" s="335" t="s">
        <v>390</v>
      </c>
      <c r="C35" s="281" t="s">
        <v>391</v>
      </c>
      <c r="D35" s="337" t="s">
        <v>21</v>
      </c>
      <c r="E35" s="281" t="s">
        <v>392</v>
      </c>
      <c r="F35" s="281" t="s">
        <v>240</v>
      </c>
      <c r="G35" s="338" t="s">
        <v>686</v>
      </c>
      <c r="H35" s="340">
        <v>211427</v>
      </c>
      <c r="I35" s="340">
        <v>211427</v>
      </c>
      <c r="J35" s="318">
        <f>SUM(K35,L35:T35)-76000</f>
        <v>24000</v>
      </c>
      <c r="K35" s="283"/>
      <c r="L35" s="283"/>
      <c r="M35" s="283"/>
      <c r="N35" s="283"/>
      <c r="O35" s="283"/>
      <c r="P35" s="283"/>
      <c r="Q35" s="283"/>
      <c r="R35" s="283"/>
      <c r="S35" s="283"/>
      <c r="T35" s="283">
        <v>100000</v>
      </c>
      <c r="U35" s="25">
        <f t="shared" si="12"/>
        <v>0</v>
      </c>
      <c r="V35" s="25"/>
      <c r="W35" s="283"/>
      <c r="X35" s="283"/>
      <c r="Y35" s="283"/>
      <c r="Z35" s="25">
        <v>8100</v>
      </c>
      <c r="AA35" s="158"/>
      <c r="AB35" s="269" t="s">
        <v>1005</v>
      </c>
      <c r="AC35" s="263" t="s">
        <v>1006</v>
      </c>
      <c r="AD35" s="312">
        <f>J35-U35-Z35-9000</f>
        <v>6900</v>
      </c>
      <c r="AG35" s="302"/>
      <c r="AH35" s="302"/>
      <c r="AI35" s="302"/>
      <c r="AJ35" s="302"/>
    </row>
    <row r="36" spans="1:36" s="333" customFormat="1" ht="44.25" customHeight="1">
      <c r="A36" s="327" t="s">
        <v>24</v>
      </c>
      <c r="B36" s="328" t="s">
        <v>63</v>
      </c>
      <c r="C36" s="328"/>
      <c r="D36" s="327"/>
      <c r="E36" s="328"/>
      <c r="F36" s="328"/>
      <c r="G36" s="328"/>
      <c r="H36" s="329">
        <f>SUM(H37:H37)</f>
        <v>25100</v>
      </c>
      <c r="I36" s="329">
        <f t="shared" ref="I36:Y36" si="15">SUM(I37:I37)</f>
        <v>22100</v>
      </c>
      <c r="J36" s="329">
        <f t="shared" si="15"/>
        <v>20000</v>
      </c>
      <c r="K36" s="329">
        <f t="shared" si="15"/>
        <v>10000</v>
      </c>
      <c r="L36" s="329">
        <f t="shared" si="15"/>
        <v>0</v>
      </c>
      <c r="M36" s="329">
        <f t="shared" si="15"/>
        <v>0</v>
      </c>
      <c r="N36" s="329">
        <f t="shared" si="15"/>
        <v>0</v>
      </c>
      <c r="O36" s="329">
        <f t="shared" si="15"/>
        <v>0</v>
      </c>
      <c r="P36" s="329">
        <f t="shared" si="15"/>
        <v>0</v>
      </c>
      <c r="Q36" s="329">
        <f t="shared" si="15"/>
        <v>0</v>
      </c>
      <c r="R36" s="329">
        <f t="shared" si="15"/>
        <v>0</v>
      </c>
      <c r="S36" s="329">
        <f t="shared" si="15"/>
        <v>0</v>
      </c>
      <c r="T36" s="329">
        <f t="shared" si="15"/>
        <v>0</v>
      </c>
      <c r="U36" s="329">
        <f t="shared" si="15"/>
        <v>5000</v>
      </c>
      <c r="V36" s="329">
        <f t="shared" si="15"/>
        <v>0</v>
      </c>
      <c r="W36" s="329">
        <f t="shared" si="15"/>
        <v>0</v>
      </c>
      <c r="X36" s="329">
        <f t="shared" si="15"/>
        <v>0</v>
      </c>
      <c r="Y36" s="329">
        <f t="shared" si="15"/>
        <v>5000</v>
      </c>
      <c r="Z36" s="329">
        <f>SUM(Z37:Z37)</f>
        <v>15000</v>
      </c>
      <c r="AA36" s="330"/>
      <c r="AB36" s="330"/>
      <c r="AC36" s="360"/>
      <c r="AD36" s="312">
        <f t="shared" si="6"/>
        <v>0</v>
      </c>
      <c r="AE36" s="332"/>
      <c r="AF36" s="332"/>
    </row>
    <row r="37" spans="1:36" ht="75.75" customHeight="1">
      <c r="A37" s="334">
        <v>1</v>
      </c>
      <c r="B37" s="335" t="s">
        <v>214</v>
      </c>
      <c r="C37" s="336" t="s">
        <v>82</v>
      </c>
      <c r="D37" s="337" t="s">
        <v>19</v>
      </c>
      <c r="E37" s="338" t="s">
        <v>215</v>
      </c>
      <c r="F37" s="338" t="s">
        <v>240</v>
      </c>
      <c r="G37" s="357" t="s">
        <v>705</v>
      </c>
      <c r="H37" s="318">
        <v>25100</v>
      </c>
      <c r="I37" s="356">
        <f>H37-3000</f>
        <v>22100</v>
      </c>
      <c r="J37" s="318">
        <f>SUM(K37,L37:T37)+10000</f>
        <v>20000</v>
      </c>
      <c r="K37" s="283">
        <v>10000</v>
      </c>
      <c r="L37" s="283"/>
      <c r="M37" s="283"/>
      <c r="N37" s="283"/>
      <c r="O37" s="283"/>
      <c r="P37" s="283"/>
      <c r="Q37" s="283"/>
      <c r="R37" s="283"/>
      <c r="S37" s="283"/>
      <c r="T37" s="283"/>
      <c r="U37" s="25">
        <f>SUM(V37:Y37)</f>
        <v>5000</v>
      </c>
      <c r="V37" s="283"/>
      <c r="W37" s="283"/>
      <c r="X37" s="283"/>
      <c r="Y37" s="340">
        <v>5000</v>
      </c>
      <c r="Z37" s="25">
        <v>15000</v>
      </c>
      <c r="AA37" s="341"/>
      <c r="AB37" s="342" t="s">
        <v>893</v>
      </c>
      <c r="AC37" s="343" t="s">
        <v>457</v>
      </c>
      <c r="AD37" s="312">
        <f t="shared" si="6"/>
        <v>0</v>
      </c>
      <c r="AE37" s="293" t="s">
        <v>290</v>
      </c>
      <c r="AF37" s="293" t="s">
        <v>275</v>
      </c>
      <c r="AG37" s="302">
        <f>J37</f>
        <v>20000</v>
      </c>
      <c r="AH37" s="302"/>
      <c r="AI37" s="302"/>
      <c r="AJ37" s="302"/>
    </row>
    <row r="38" spans="1:36" s="333" customFormat="1" ht="44.25" customHeight="1">
      <c r="A38" s="327" t="s">
        <v>29</v>
      </c>
      <c r="B38" s="328" t="s">
        <v>91</v>
      </c>
      <c r="C38" s="328"/>
      <c r="D38" s="327"/>
      <c r="E38" s="328"/>
      <c r="F38" s="328"/>
      <c r="G38" s="328"/>
      <c r="H38" s="329">
        <f>SUM(H39:H40)</f>
        <v>5770</v>
      </c>
      <c r="I38" s="329">
        <f t="shared" ref="I38:Y38" si="16">SUM(I39:I40)</f>
        <v>5770</v>
      </c>
      <c r="J38" s="329">
        <f t="shared" si="16"/>
        <v>6400</v>
      </c>
      <c r="K38" s="329">
        <f t="shared" si="16"/>
        <v>0</v>
      </c>
      <c r="L38" s="329">
        <f t="shared" si="16"/>
        <v>0</v>
      </c>
      <c r="M38" s="329">
        <f t="shared" si="16"/>
        <v>0</v>
      </c>
      <c r="N38" s="329">
        <f t="shared" si="16"/>
        <v>0</v>
      </c>
      <c r="O38" s="329">
        <f t="shared" si="16"/>
        <v>0</v>
      </c>
      <c r="P38" s="329">
        <f t="shared" si="16"/>
        <v>0</v>
      </c>
      <c r="Q38" s="329">
        <f t="shared" si="16"/>
        <v>0</v>
      </c>
      <c r="R38" s="329">
        <f t="shared" si="16"/>
        <v>0</v>
      </c>
      <c r="S38" s="329">
        <f t="shared" si="16"/>
        <v>0</v>
      </c>
      <c r="T38" s="329">
        <f t="shared" si="16"/>
        <v>6400</v>
      </c>
      <c r="U38" s="329">
        <f t="shared" si="16"/>
        <v>5400</v>
      </c>
      <c r="V38" s="329">
        <f t="shared" si="16"/>
        <v>0</v>
      </c>
      <c r="W38" s="329">
        <f t="shared" si="16"/>
        <v>0</v>
      </c>
      <c r="X38" s="329">
        <f t="shared" si="16"/>
        <v>0</v>
      </c>
      <c r="Y38" s="329">
        <f t="shared" si="16"/>
        <v>5400</v>
      </c>
      <c r="Z38" s="329">
        <f>SUM(Z39:Z40)</f>
        <v>1000</v>
      </c>
      <c r="AA38" s="330"/>
      <c r="AB38" s="330"/>
      <c r="AC38" s="331"/>
      <c r="AD38" s="312">
        <f t="shared" si="6"/>
        <v>0</v>
      </c>
      <c r="AE38" s="332"/>
      <c r="AF38" s="332"/>
    </row>
    <row r="39" spans="1:36" ht="60.9" customHeight="1">
      <c r="A39" s="334">
        <v>1</v>
      </c>
      <c r="B39" s="335" t="s">
        <v>405</v>
      </c>
      <c r="C39" s="338" t="s">
        <v>406</v>
      </c>
      <c r="D39" s="337" t="s">
        <v>19</v>
      </c>
      <c r="E39" s="338" t="s">
        <v>407</v>
      </c>
      <c r="F39" s="361" t="s">
        <v>240</v>
      </c>
      <c r="G39" s="339" t="s">
        <v>706</v>
      </c>
      <c r="H39" s="340">
        <v>2689</v>
      </c>
      <c r="I39" s="340">
        <v>2689</v>
      </c>
      <c r="J39" s="318">
        <f>SUM(K39,L39:T39)</f>
        <v>3100</v>
      </c>
      <c r="K39" s="25"/>
      <c r="L39" s="283"/>
      <c r="M39" s="283"/>
      <c r="N39" s="283"/>
      <c r="O39" s="283"/>
      <c r="P39" s="283"/>
      <c r="Q39" s="283"/>
      <c r="R39" s="340"/>
      <c r="S39" s="340"/>
      <c r="T39" s="340">
        <v>3100</v>
      </c>
      <c r="U39" s="25">
        <f>SUM(V39:Y39)</f>
        <v>2500</v>
      </c>
      <c r="V39" s="25"/>
      <c r="W39" s="283"/>
      <c r="X39" s="283"/>
      <c r="Y39" s="340">
        <v>2500</v>
      </c>
      <c r="Z39" s="25">
        <v>600</v>
      </c>
      <c r="AA39" s="341"/>
      <c r="AB39" s="341" t="s">
        <v>879</v>
      </c>
      <c r="AC39" s="350"/>
      <c r="AD39" s="312">
        <f t="shared" si="6"/>
        <v>0</v>
      </c>
      <c r="AG39" s="302"/>
      <c r="AH39" s="302"/>
      <c r="AI39" s="302"/>
      <c r="AJ39" s="302"/>
    </row>
    <row r="40" spans="1:36" ht="60.9" customHeight="1">
      <c r="A40" s="334">
        <v>2</v>
      </c>
      <c r="B40" s="335" t="s">
        <v>408</v>
      </c>
      <c r="C40" s="338" t="s">
        <v>373</v>
      </c>
      <c r="D40" s="337" t="s">
        <v>19</v>
      </c>
      <c r="E40" s="338" t="s">
        <v>407</v>
      </c>
      <c r="F40" s="361" t="s">
        <v>240</v>
      </c>
      <c r="G40" s="339" t="s">
        <v>707</v>
      </c>
      <c r="H40" s="340">
        <v>3081</v>
      </c>
      <c r="I40" s="340">
        <v>3081</v>
      </c>
      <c r="J40" s="318">
        <f>SUM(K40,L40:T40)</f>
        <v>3300</v>
      </c>
      <c r="K40" s="25"/>
      <c r="L40" s="283"/>
      <c r="M40" s="283"/>
      <c r="N40" s="283"/>
      <c r="O40" s="283"/>
      <c r="P40" s="283"/>
      <c r="Q40" s="283"/>
      <c r="R40" s="340"/>
      <c r="S40" s="340"/>
      <c r="T40" s="340">
        <v>3300</v>
      </c>
      <c r="U40" s="25">
        <f>SUM(V40:Y40)</f>
        <v>2900</v>
      </c>
      <c r="V40" s="25"/>
      <c r="W40" s="283"/>
      <c r="X40" s="283"/>
      <c r="Y40" s="340">
        <v>2900</v>
      </c>
      <c r="Z40" s="25">
        <v>400</v>
      </c>
      <c r="AA40" s="341"/>
      <c r="AB40" s="341" t="s">
        <v>879</v>
      </c>
      <c r="AC40" s="350"/>
      <c r="AD40" s="312">
        <f t="shared" si="6"/>
        <v>0</v>
      </c>
      <c r="AG40" s="302"/>
      <c r="AH40" s="302"/>
      <c r="AI40" s="302"/>
      <c r="AJ40" s="302"/>
    </row>
    <row r="41" spans="1:36" s="333" customFormat="1" ht="44.25" customHeight="1">
      <c r="A41" s="327" t="s">
        <v>86</v>
      </c>
      <c r="B41" s="328" t="s">
        <v>88</v>
      </c>
      <c r="C41" s="328"/>
      <c r="D41" s="327"/>
      <c r="E41" s="328"/>
      <c r="F41" s="328"/>
      <c r="G41" s="328"/>
      <c r="H41" s="329">
        <f t="shared" ref="H41:Y41" si="17">SUM(H42:H44)</f>
        <v>83964</v>
      </c>
      <c r="I41" s="329">
        <f t="shared" si="17"/>
        <v>78316</v>
      </c>
      <c r="J41" s="329">
        <f t="shared" si="17"/>
        <v>73328</v>
      </c>
      <c r="K41" s="329">
        <f t="shared" si="17"/>
        <v>67328</v>
      </c>
      <c r="L41" s="329">
        <f t="shared" si="17"/>
        <v>0</v>
      </c>
      <c r="M41" s="329">
        <f t="shared" si="17"/>
        <v>0</v>
      </c>
      <c r="N41" s="329">
        <f t="shared" si="17"/>
        <v>0</v>
      </c>
      <c r="O41" s="329">
        <f t="shared" si="17"/>
        <v>0</v>
      </c>
      <c r="P41" s="329">
        <f t="shared" si="17"/>
        <v>0</v>
      </c>
      <c r="Q41" s="329">
        <f t="shared" si="17"/>
        <v>0</v>
      </c>
      <c r="R41" s="329">
        <f t="shared" si="17"/>
        <v>6000</v>
      </c>
      <c r="S41" s="329">
        <f t="shared" si="17"/>
        <v>0</v>
      </c>
      <c r="T41" s="329">
        <f t="shared" si="17"/>
        <v>0</v>
      </c>
      <c r="U41" s="329">
        <f t="shared" si="17"/>
        <v>67628</v>
      </c>
      <c r="V41" s="329">
        <f t="shared" si="17"/>
        <v>0</v>
      </c>
      <c r="W41" s="329">
        <f t="shared" si="17"/>
        <v>35000</v>
      </c>
      <c r="X41" s="329">
        <f t="shared" si="17"/>
        <v>10000</v>
      </c>
      <c r="Y41" s="329">
        <f t="shared" si="17"/>
        <v>22628</v>
      </c>
      <c r="Z41" s="329">
        <f>SUM(Z42:Z44)</f>
        <v>5700</v>
      </c>
      <c r="AA41" s="330"/>
      <c r="AB41" s="330"/>
      <c r="AC41" s="331"/>
      <c r="AD41" s="312">
        <f t="shared" si="6"/>
        <v>0</v>
      </c>
      <c r="AE41" s="332"/>
      <c r="AF41" s="332"/>
    </row>
    <row r="42" spans="1:36" ht="68.25" customHeight="1">
      <c r="A42" s="334">
        <v>1</v>
      </c>
      <c r="B42" s="335" t="s">
        <v>840</v>
      </c>
      <c r="C42" s="362" t="s">
        <v>841</v>
      </c>
      <c r="D42" s="337" t="s">
        <v>21</v>
      </c>
      <c r="E42" s="348" t="s">
        <v>842</v>
      </c>
      <c r="F42" s="363" t="s">
        <v>39</v>
      </c>
      <c r="G42" s="363" t="s">
        <v>843</v>
      </c>
      <c r="H42" s="364">
        <v>65816</v>
      </c>
      <c r="I42" s="364">
        <v>65816</v>
      </c>
      <c r="J42" s="318">
        <f t="shared" ref="J42" si="18">SUM(K42,L42:T42)</f>
        <v>60828</v>
      </c>
      <c r="K42" s="284">
        <v>60828</v>
      </c>
      <c r="L42" s="283"/>
      <c r="M42" s="283"/>
      <c r="N42" s="283"/>
      <c r="O42" s="283"/>
      <c r="P42" s="283"/>
      <c r="Q42" s="283"/>
      <c r="R42" s="283"/>
      <c r="S42" s="283"/>
      <c r="T42" s="283"/>
      <c r="U42" s="25">
        <f>SUM(V42:Y42)</f>
        <v>58628</v>
      </c>
      <c r="V42" s="25"/>
      <c r="W42" s="22">
        <v>35000</v>
      </c>
      <c r="X42" s="283">
        <v>10000</v>
      </c>
      <c r="Y42" s="340">
        <v>13628</v>
      </c>
      <c r="Z42" s="25">
        <v>2200</v>
      </c>
      <c r="AA42" s="341"/>
      <c r="AB42" s="341" t="s">
        <v>879</v>
      </c>
      <c r="AC42" s="350"/>
      <c r="AD42" s="312">
        <f t="shared" si="6"/>
        <v>0</v>
      </c>
      <c r="AG42" s="302"/>
      <c r="AH42" s="302"/>
      <c r="AI42" s="302"/>
      <c r="AJ42" s="302"/>
    </row>
    <row r="43" spans="1:36" ht="68.25" customHeight="1">
      <c r="A43" s="334">
        <v>2</v>
      </c>
      <c r="B43" s="335" t="s">
        <v>668</v>
      </c>
      <c r="C43" s="362" t="s">
        <v>669</v>
      </c>
      <c r="D43" s="337" t="s">
        <v>19</v>
      </c>
      <c r="E43" s="348" t="s">
        <v>670</v>
      </c>
      <c r="F43" s="363" t="s">
        <v>39</v>
      </c>
      <c r="G43" s="363" t="s">
        <v>671</v>
      </c>
      <c r="H43" s="364">
        <v>10974</v>
      </c>
      <c r="I43" s="364">
        <v>6500</v>
      </c>
      <c r="J43" s="318">
        <f t="shared" ref="J43" si="19">SUM(K43,L43:T43)</f>
        <v>6500</v>
      </c>
      <c r="K43" s="365">
        <v>6500</v>
      </c>
      <c r="L43" s="283"/>
      <c r="M43" s="283"/>
      <c r="N43" s="283"/>
      <c r="O43" s="283"/>
      <c r="P43" s="283"/>
      <c r="Q43" s="283"/>
      <c r="R43" s="283"/>
      <c r="S43" s="283"/>
      <c r="T43" s="283"/>
      <c r="U43" s="25">
        <f>SUM(V43:Y43)</f>
        <v>4000</v>
      </c>
      <c r="V43" s="25"/>
      <c r="W43" s="283"/>
      <c r="X43" s="283"/>
      <c r="Y43" s="340">
        <v>4000</v>
      </c>
      <c r="Z43" s="25">
        <v>2500</v>
      </c>
      <c r="AA43" s="341"/>
      <c r="AB43" s="341" t="s">
        <v>879</v>
      </c>
      <c r="AC43" s="350"/>
      <c r="AD43" s="312">
        <f t="shared" si="6"/>
        <v>0</v>
      </c>
      <c r="AE43" s="293" t="s">
        <v>290</v>
      </c>
      <c r="AF43" s="293" t="s">
        <v>275</v>
      </c>
      <c r="AG43" s="302">
        <f>J43</f>
        <v>6500</v>
      </c>
      <c r="AH43" s="302"/>
      <c r="AI43" s="302"/>
      <c r="AJ43" s="302"/>
    </row>
    <row r="44" spans="1:36" ht="84" customHeight="1">
      <c r="A44" s="334">
        <v>3</v>
      </c>
      <c r="B44" s="366" t="s">
        <v>385</v>
      </c>
      <c r="C44" s="338" t="s">
        <v>386</v>
      </c>
      <c r="D44" s="367" t="s">
        <v>19</v>
      </c>
      <c r="E44" s="338" t="s">
        <v>387</v>
      </c>
      <c r="F44" s="338" t="s">
        <v>240</v>
      </c>
      <c r="G44" s="339" t="s">
        <v>709</v>
      </c>
      <c r="H44" s="283">
        <v>7174</v>
      </c>
      <c r="I44" s="283">
        <v>6000</v>
      </c>
      <c r="J44" s="318">
        <f>SUM(K44,L44:T44)</f>
        <v>6000</v>
      </c>
      <c r="K44" s="365"/>
      <c r="L44" s="283"/>
      <c r="M44" s="283"/>
      <c r="N44" s="283"/>
      <c r="O44" s="283"/>
      <c r="P44" s="283"/>
      <c r="Q44" s="283"/>
      <c r="R44" s="283">
        <v>6000</v>
      </c>
      <c r="S44" s="283"/>
      <c r="T44" s="283"/>
      <c r="U44" s="25">
        <f>SUM(V44:Y44)</f>
        <v>5000</v>
      </c>
      <c r="V44" s="25"/>
      <c r="W44" s="283"/>
      <c r="X44" s="283"/>
      <c r="Y44" s="340">
        <v>5000</v>
      </c>
      <c r="Z44" s="25">
        <v>1000</v>
      </c>
      <c r="AA44" s="341"/>
      <c r="AB44" s="341" t="s">
        <v>879</v>
      </c>
      <c r="AC44" s="350"/>
      <c r="AD44" s="312">
        <f t="shared" si="6"/>
        <v>0</v>
      </c>
      <c r="AG44" s="302"/>
      <c r="AH44" s="302"/>
      <c r="AI44" s="302"/>
      <c r="AJ44" s="302"/>
    </row>
    <row r="45" spans="1:36" s="333" customFormat="1" ht="44.25" customHeight="1">
      <c r="A45" s="327" t="s">
        <v>89</v>
      </c>
      <c r="B45" s="328" t="s">
        <v>112</v>
      </c>
      <c r="C45" s="328"/>
      <c r="D45" s="327"/>
      <c r="E45" s="328"/>
      <c r="F45" s="328"/>
      <c r="G45" s="328"/>
      <c r="H45" s="329">
        <f>SUM(H46)</f>
        <v>37066</v>
      </c>
      <c r="I45" s="329">
        <f>SUM(I46)</f>
        <v>37066</v>
      </c>
      <c r="J45" s="329">
        <f t="shared" ref="J45:Y45" si="20">SUM(J46)</f>
        <v>37000</v>
      </c>
      <c r="K45" s="329">
        <f t="shared" si="20"/>
        <v>20000</v>
      </c>
      <c r="L45" s="329">
        <f t="shared" si="20"/>
        <v>0</v>
      </c>
      <c r="M45" s="329">
        <f t="shared" si="20"/>
        <v>0</v>
      </c>
      <c r="N45" s="329">
        <f t="shared" si="20"/>
        <v>0</v>
      </c>
      <c r="O45" s="329">
        <f t="shared" si="20"/>
        <v>17000</v>
      </c>
      <c r="P45" s="329">
        <f t="shared" si="20"/>
        <v>0</v>
      </c>
      <c r="Q45" s="329">
        <f t="shared" si="20"/>
        <v>0</v>
      </c>
      <c r="R45" s="329">
        <f t="shared" si="20"/>
        <v>0</v>
      </c>
      <c r="S45" s="329">
        <f t="shared" si="20"/>
        <v>0</v>
      </c>
      <c r="T45" s="329">
        <f t="shared" si="20"/>
        <v>0</v>
      </c>
      <c r="U45" s="329">
        <f t="shared" si="20"/>
        <v>19500</v>
      </c>
      <c r="V45" s="329">
        <f t="shared" si="20"/>
        <v>0</v>
      </c>
      <c r="W45" s="329">
        <f t="shared" si="20"/>
        <v>5000</v>
      </c>
      <c r="X45" s="329">
        <f t="shared" si="20"/>
        <v>7000</v>
      </c>
      <c r="Y45" s="329">
        <f t="shared" si="20"/>
        <v>7500</v>
      </c>
      <c r="Z45" s="329">
        <f>SUM(Z46)</f>
        <v>15000</v>
      </c>
      <c r="AA45" s="330"/>
      <c r="AB45" s="330"/>
      <c r="AC45" s="331"/>
      <c r="AD45" s="312"/>
      <c r="AE45" s="332"/>
      <c r="AF45" s="332"/>
    </row>
    <row r="46" spans="1:36" ht="88.5" customHeight="1">
      <c r="A46" s="334">
        <v>1</v>
      </c>
      <c r="B46" s="368" t="s">
        <v>113</v>
      </c>
      <c r="C46" s="338" t="s">
        <v>114</v>
      </c>
      <c r="D46" s="337" t="s">
        <v>19</v>
      </c>
      <c r="E46" s="338" t="s">
        <v>115</v>
      </c>
      <c r="F46" s="369" t="s">
        <v>39</v>
      </c>
      <c r="G46" s="339" t="s">
        <v>708</v>
      </c>
      <c r="H46" s="340">
        <v>37066</v>
      </c>
      <c r="I46" s="370">
        <v>37066</v>
      </c>
      <c r="J46" s="318">
        <f>SUM(K46,L46:T46)</f>
        <v>37000</v>
      </c>
      <c r="K46" s="25">
        <v>20000</v>
      </c>
      <c r="L46" s="283"/>
      <c r="M46" s="283"/>
      <c r="N46" s="283"/>
      <c r="O46" s="283">
        <v>17000</v>
      </c>
      <c r="P46" s="283"/>
      <c r="Q46" s="283"/>
      <c r="R46" s="283"/>
      <c r="S46" s="283"/>
      <c r="T46" s="283"/>
      <c r="U46" s="25">
        <f>SUM(V46:Y46)</f>
        <v>19500</v>
      </c>
      <c r="V46" s="51">
        <v>0</v>
      </c>
      <c r="W46" s="22">
        <v>5000</v>
      </c>
      <c r="X46" s="283">
        <v>7000</v>
      </c>
      <c r="Y46" s="340">
        <v>7500</v>
      </c>
      <c r="Z46" s="25">
        <v>15000</v>
      </c>
      <c r="AA46" s="341"/>
      <c r="AB46" s="346" t="s">
        <v>878</v>
      </c>
      <c r="AC46" s="350" t="s">
        <v>945</v>
      </c>
      <c r="AD46" s="312">
        <f t="shared" si="6"/>
        <v>2500</v>
      </c>
      <c r="AE46" s="293" t="s">
        <v>290</v>
      </c>
      <c r="AF46" s="293" t="s">
        <v>286</v>
      </c>
      <c r="AG46" s="302">
        <f>J46</f>
        <v>37000</v>
      </c>
      <c r="AH46" s="302"/>
      <c r="AI46" s="302"/>
      <c r="AJ46" s="302"/>
    </row>
    <row r="47" spans="1:36" s="316" customFormat="1" ht="60" customHeight="1">
      <c r="A47" s="301" t="s">
        <v>296</v>
      </c>
      <c r="B47" s="310" t="s">
        <v>66</v>
      </c>
      <c r="C47" s="301"/>
      <c r="D47" s="301"/>
      <c r="E47" s="301"/>
      <c r="F47" s="301"/>
      <c r="G47" s="301"/>
      <c r="H47" s="311">
        <f>SUM(H48,H52)</f>
        <v>58621</v>
      </c>
      <c r="I47" s="311">
        <f t="shared" ref="I47:Z47" si="21">SUM(I48,I52)</f>
        <v>29544</v>
      </c>
      <c r="J47" s="311">
        <f t="shared" si="21"/>
        <v>30400</v>
      </c>
      <c r="K47" s="311">
        <f t="shared" si="21"/>
        <v>30400</v>
      </c>
      <c r="L47" s="311">
        <f t="shared" si="21"/>
        <v>0</v>
      </c>
      <c r="M47" s="311">
        <f t="shared" si="21"/>
        <v>0</v>
      </c>
      <c r="N47" s="311">
        <f t="shared" si="21"/>
        <v>0</v>
      </c>
      <c r="O47" s="311">
        <f t="shared" si="21"/>
        <v>0</v>
      </c>
      <c r="P47" s="311">
        <f t="shared" si="21"/>
        <v>0</v>
      </c>
      <c r="Q47" s="311">
        <f t="shared" si="21"/>
        <v>0</v>
      </c>
      <c r="R47" s="311">
        <f t="shared" si="21"/>
        <v>0</v>
      </c>
      <c r="S47" s="311">
        <f t="shared" si="21"/>
        <v>0</v>
      </c>
      <c r="T47" s="311">
        <f t="shared" si="21"/>
        <v>0</v>
      </c>
      <c r="U47" s="311">
        <f t="shared" si="21"/>
        <v>0</v>
      </c>
      <c r="V47" s="311">
        <f t="shared" si="21"/>
        <v>0</v>
      </c>
      <c r="W47" s="311">
        <f t="shared" si="21"/>
        <v>0</v>
      </c>
      <c r="X47" s="311">
        <f t="shared" si="21"/>
        <v>0</v>
      </c>
      <c r="Y47" s="311">
        <f t="shared" si="21"/>
        <v>0</v>
      </c>
      <c r="Z47" s="311">
        <f t="shared" si="21"/>
        <v>30400</v>
      </c>
      <c r="AA47" s="20"/>
      <c r="AB47" s="20"/>
      <c r="AC47" s="240"/>
      <c r="AD47" s="312">
        <f t="shared" si="6"/>
        <v>0</v>
      </c>
      <c r="AE47" s="298"/>
      <c r="AF47" s="298"/>
    </row>
    <row r="48" spans="1:36" s="333" customFormat="1" ht="44.25" customHeight="1">
      <c r="A48" s="327" t="s">
        <v>16</v>
      </c>
      <c r="B48" s="328" t="s">
        <v>88</v>
      </c>
      <c r="C48" s="328"/>
      <c r="D48" s="327"/>
      <c r="E48" s="328"/>
      <c r="F48" s="328"/>
      <c r="G48" s="328"/>
      <c r="H48" s="329">
        <f>SUM(H49:H51)</f>
        <v>53077</v>
      </c>
      <c r="I48" s="329">
        <f t="shared" ref="I48:Z48" si="22">SUM(I49:I51)</f>
        <v>24000</v>
      </c>
      <c r="J48" s="329">
        <f t="shared" si="22"/>
        <v>25600</v>
      </c>
      <c r="K48" s="329">
        <f t="shared" si="22"/>
        <v>25600</v>
      </c>
      <c r="L48" s="329">
        <f t="shared" si="22"/>
        <v>0</v>
      </c>
      <c r="M48" s="329">
        <f t="shared" si="22"/>
        <v>0</v>
      </c>
      <c r="N48" s="329">
        <f t="shared" si="22"/>
        <v>0</v>
      </c>
      <c r="O48" s="329">
        <f t="shared" si="22"/>
        <v>0</v>
      </c>
      <c r="P48" s="329">
        <f t="shared" si="22"/>
        <v>0</v>
      </c>
      <c r="Q48" s="329">
        <f t="shared" si="22"/>
        <v>0</v>
      </c>
      <c r="R48" s="329">
        <f t="shared" si="22"/>
        <v>0</v>
      </c>
      <c r="S48" s="329">
        <f t="shared" si="22"/>
        <v>0</v>
      </c>
      <c r="T48" s="329">
        <f t="shared" si="22"/>
        <v>0</v>
      </c>
      <c r="U48" s="329">
        <f t="shared" si="22"/>
        <v>0</v>
      </c>
      <c r="V48" s="329">
        <f t="shared" si="22"/>
        <v>0</v>
      </c>
      <c r="W48" s="329">
        <f t="shared" si="22"/>
        <v>0</v>
      </c>
      <c r="X48" s="329">
        <f t="shared" si="22"/>
        <v>0</v>
      </c>
      <c r="Y48" s="329">
        <f t="shared" si="22"/>
        <v>0</v>
      </c>
      <c r="Z48" s="329">
        <f t="shared" si="22"/>
        <v>25600</v>
      </c>
      <c r="AA48" s="330"/>
      <c r="AB48" s="330"/>
      <c r="AC48" s="331"/>
      <c r="AD48" s="312">
        <f t="shared" si="6"/>
        <v>0</v>
      </c>
      <c r="AE48" s="332"/>
      <c r="AF48" s="332"/>
    </row>
    <row r="49" spans="1:36" ht="49.5" customHeight="1">
      <c r="A49" s="334">
        <v>1</v>
      </c>
      <c r="B49" s="335" t="s">
        <v>330</v>
      </c>
      <c r="C49" s="362" t="s">
        <v>94</v>
      </c>
      <c r="D49" s="337" t="s">
        <v>19</v>
      </c>
      <c r="E49" s="334" t="s">
        <v>93</v>
      </c>
      <c r="F49" s="363" t="s">
        <v>39</v>
      </c>
      <c r="G49" s="363" t="s">
        <v>819</v>
      </c>
      <c r="H49" s="365">
        <v>24185</v>
      </c>
      <c r="I49" s="365">
        <v>8000</v>
      </c>
      <c r="J49" s="318">
        <f t="shared" ref="J49" si="23">SUM(K49,L49:T49)</f>
        <v>8000</v>
      </c>
      <c r="K49" s="365">
        <v>8000</v>
      </c>
      <c r="L49" s="283"/>
      <c r="M49" s="283"/>
      <c r="N49" s="283"/>
      <c r="O49" s="283"/>
      <c r="P49" s="283"/>
      <c r="Q49" s="283"/>
      <c r="R49" s="283"/>
      <c r="S49" s="283"/>
      <c r="T49" s="283"/>
      <c r="U49" s="25">
        <f>SUM(V49:Y49)</f>
        <v>0</v>
      </c>
      <c r="V49" s="25"/>
      <c r="W49" s="283"/>
      <c r="X49" s="283"/>
      <c r="Y49" s="283"/>
      <c r="Z49" s="25">
        <v>8000</v>
      </c>
      <c r="AA49" s="341"/>
      <c r="AB49" s="341" t="s">
        <v>879</v>
      </c>
      <c r="AC49" s="350"/>
      <c r="AD49" s="312">
        <f t="shared" si="6"/>
        <v>0</v>
      </c>
      <c r="AG49" s="302"/>
      <c r="AH49" s="302"/>
      <c r="AI49" s="302"/>
      <c r="AJ49" s="302"/>
    </row>
    <row r="50" spans="1:36" ht="49.5" customHeight="1">
      <c r="A50" s="334">
        <v>2</v>
      </c>
      <c r="B50" s="335" t="s">
        <v>672</v>
      </c>
      <c r="C50" s="362" t="s">
        <v>673</v>
      </c>
      <c r="D50" s="337" t="s">
        <v>19</v>
      </c>
      <c r="E50" s="348" t="s">
        <v>93</v>
      </c>
      <c r="F50" s="363" t="s">
        <v>39</v>
      </c>
      <c r="G50" s="363" t="s">
        <v>674</v>
      </c>
      <c r="H50" s="364">
        <v>14862</v>
      </c>
      <c r="I50" s="364">
        <v>8000</v>
      </c>
      <c r="J50" s="318">
        <f t="shared" ref="J50:J51" si="24">SUM(K50,L50:T50)</f>
        <v>8000</v>
      </c>
      <c r="K50" s="365">
        <v>8000</v>
      </c>
      <c r="L50" s="283"/>
      <c r="M50" s="283"/>
      <c r="N50" s="283"/>
      <c r="O50" s="283"/>
      <c r="P50" s="283"/>
      <c r="Q50" s="283"/>
      <c r="R50" s="283"/>
      <c r="S50" s="283"/>
      <c r="T50" s="283"/>
      <c r="U50" s="25">
        <f>SUM(V50:Y50)</f>
        <v>0</v>
      </c>
      <c r="V50" s="25"/>
      <c r="W50" s="283"/>
      <c r="X50" s="283"/>
      <c r="Y50" s="283"/>
      <c r="Z50" s="25">
        <v>8000</v>
      </c>
      <c r="AA50" s="341"/>
      <c r="AB50" s="341" t="s">
        <v>879</v>
      </c>
      <c r="AC50" s="350"/>
      <c r="AD50" s="312">
        <f t="shared" si="6"/>
        <v>0</v>
      </c>
      <c r="AG50" s="302"/>
      <c r="AH50" s="302"/>
      <c r="AI50" s="302"/>
      <c r="AJ50" s="302"/>
    </row>
    <row r="51" spans="1:36" ht="49.5" customHeight="1">
      <c r="A51" s="334">
        <v>3</v>
      </c>
      <c r="B51" s="335" t="s">
        <v>95</v>
      </c>
      <c r="C51" s="362" t="s">
        <v>96</v>
      </c>
      <c r="D51" s="337" t="s">
        <v>19</v>
      </c>
      <c r="E51" s="334" t="s">
        <v>93</v>
      </c>
      <c r="F51" s="363" t="s">
        <v>39</v>
      </c>
      <c r="G51" s="363" t="s">
        <v>774</v>
      </c>
      <c r="H51" s="365">
        <v>14030</v>
      </c>
      <c r="I51" s="365">
        <v>8000</v>
      </c>
      <c r="J51" s="318">
        <f t="shared" si="24"/>
        <v>9600</v>
      </c>
      <c r="K51" s="365">
        <v>9600</v>
      </c>
      <c r="L51" s="283"/>
      <c r="M51" s="283"/>
      <c r="N51" s="283"/>
      <c r="O51" s="283"/>
      <c r="P51" s="283"/>
      <c r="Q51" s="283"/>
      <c r="R51" s="283"/>
      <c r="S51" s="283"/>
      <c r="T51" s="283"/>
      <c r="U51" s="25">
        <f>SUM(V51:Y51)</f>
        <v>0</v>
      </c>
      <c r="V51" s="25"/>
      <c r="W51" s="283"/>
      <c r="X51" s="283"/>
      <c r="Y51" s="283"/>
      <c r="Z51" s="25">
        <v>9600</v>
      </c>
      <c r="AA51" s="341"/>
      <c r="AB51" s="341" t="s">
        <v>879</v>
      </c>
      <c r="AC51" s="350"/>
      <c r="AD51" s="312">
        <f t="shared" si="6"/>
        <v>0</v>
      </c>
      <c r="AE51" s="293" t="s">
        <v>290</v>
      </c>
      <c r="AF51" s="293" t="s">
        <v>283</v>
      </c>
      <c r="AG51" s="302">
        <f>J51</f>
        <v>9600</v>
      </c>
      <c r="AH51" s="302"/>
      <c r="AI51" s="302"/>
      <c r="AJ51" s="302"/>
    </row>
    <row r="52" spans="1:36" s="333" customFormat="1" ht="44.25" customHeight="1">
      <c r="A52" s="327" t="s">
        <v>24</v>
      </c>
      <c r="B52" s="328" t="s">
        <v>91</v>
      </c>
      <c r="C52" s="328"/>
      <c r="D52" s="327"/>
      <c r="E52" s="328"/>
      <c r="F52" s="328"/>
      <c r="G52" s="328"/>
      <c r="H52" s="329">
        <f>SUM(H53:H56)</f>
        <v>5544</v>
      </c>
      <c r="I52" s="329">
        <f t="shared" ref="I52:Z52" si="25">SUM(I53:I56)</f>
        <v>5544</v>
      </c>
      <c r="J52" s="329">
        <f t="shared" si="25"/>
        <v>4800</v>
      </c>
      <c r="K52" s="329">
        <f t="shared" si="25"/>
        <v>4800</v>
      </c>
      <c r="L52" s="329">
        <f t="shared" si="25"/>
        <v>0</v>
      </c>
      <c r="M52" s="329">
        <f t="shared" si="25"/>
        <v>0</v>
      </c>
      <c r="N52" s="329">
        <f t="shared" si="25"/>
        <v>0</v>
      </c>
      <c r="O52" s="329">
        <f t="shared" si="25"/>
        <v>0</v>
      </c>
      <c r="P52" s="329">
        <f t="shared" si="25"/>
        <v>0</v>
      </c>
      <c r="Q52" s="329">
        <f t="shared" si="25"/>
        <v>0</v>
      </c>
      <c r="R52" s="329">
        <f t="shared" si="25"/>
        <v>0</v>
      </c>
      <c r="S52" s="329">
        <f t="shared" si="25"/>
        <v>0</v>
      </c>
      <c r="T52" s="329">
        <f t="shared" si="25"/>
        <v>0</v>
      </c>
      <c r="U52" s="329">
        <f t="shared" si="25"/>
        <v>0</v>
      </c>
      <c r="V52" s="329">
        <f t="shared" si="25"/>
        <v>0</v>
      </c>
      <c r="W52" s="329">
        <f t="shared" si="25"/>
        <v>0</v>
      </c>
      <c r="X52" s="329">
        <f t="shared" si="25"/>
        <v>0</v>
      </c>
      <c r="Y52" s="329">
        <f t="shared" si="25"/>
        <v>0</v>
      </c>
      <c r="Z52" s="329">
        <f t="shared" si="25"/>
        <v>4800</v>
      </c>
      <c r="AA52" s="330"/>
      <c r="AB52" s="329"/>
      <c r="AC52" s="331"/>
      <c r="AE52" s="332"/>
      <c r="AF52" s="332"/>
    </row>
    <row r="53" spans="1:36" ht="60.9" customHeight="1">
      <c r="A53" s="334">
        <v>1</v>
      </c>
      <c r="B53" s="368" t="s">
        <v>102</v>
      </c>
      <c r="C53" s="338" t="s">
        <v>106</v>
      </c>
      <c r="D53" s="337" t="s">
        <v>19</v>
      </c>
      <c r="E53" s="338" t="s">
        <v>100</v>
      </c>
      <c r="F53" s="369" t="s">
        <v>101</v>
      </c>
      <c r="G53" s="363" t="s">
        <v>1001</v>
      </c>
      <c r="H53" s="283">
        <v>1386</v>
      </c>
      <c r="I53" s="372">
        <v>1386</v>
      </c>
      <c r="J53" s="318">
        <f t="shared" ref="J53:J56" si="26">SUM(K53,L53:T53)</f>
        <v>1200</v>
      </c>
      <c r="K53" s="25">
        <v>1200</v>
      </c>
      <c r="L53" s="283"/>
      <c r="M53" s="283"/>
      <c r="N53" s="283"/>
      <c r="O53" s="283"/>
      <c r="P53" s="283"/>
      <c r="Q53" s="283"/>
      <c r="R53" s="283"/>
      <c r="S53" s="283"/>
      <c r="T53" s="283"/>
      <c r="U53" s="25">
        <f>SUM(V53:Y53)</f>
        <v>0</v>
      </c>
      <c r="V53" s="25"/>
      <c r="W53" s="283"/>
      <c r="X53" s="283"/>
      <c r="Y53" s="283"/>
      <c r="Z53" s="25">
        <v>1200</v>
      </c>
      <c r="AA53" s="341"/>
      <c r="AB53" s="25">
        <v>1200</v>
      </c>
      <c r="AC53" s="350"/>
      <c r="AE53" s="293" t="s">
        <v>290</v>
      </c>
      <c r="AF53" s="293" t="s">
        <v>284</v>
      </c>
      <c r="AG53" s="302">
        <f t="shared" ref="AG53:AG56" si="27">J53</f>
        <v>1200</v>
      </c>
      <c r="AH53" s="302"/>
      <c r="AI53" s="302"/>
      <c r="AJ53" s="302"/>
    </row>
    <row r="54" spans="1:36" ht="60.9" customHeight="1">
      <c r="A54" s="334">
        <f>+A53+1</f>
        <v>2</v>
      </c>
      <c r="B54" s="368" t="s">
        <v>103</v>
      </c>
      <c r="C54" s="338" t="s">
        <v>109</v>
      </c>
      <c r="D54" s="337" t="s">
        <v>19</v>
      </c>
      <c r="E54" s="338" t="s">
        <v>100</v>
      </c>
      <c r="F54" s="369" t="s">
        <v>101</v>
      </c>
      <c r="G54" s="363" t="s">
        <v>1002</v>
      </c>
      <c r="H54" s="524">
        <v>1386</v>
      </c>
      <c r="I54" s="525">
        <v>1386</v>
      </c>
      <c r="J54" s="318">
        <f t="shared" si="26"/>
        <v>1200</v>
      </c>
      <c r="K54" s="25">
        <v>1200</v>
      </c>
      <c r="L54" s="283"/>
      <c r="M54" s="283"/>
      <c r="N54" s="283"/>
      <c r="O54" s="283"/>
      <c r="P54" s="283"/>
      <c r="Q54" s="283"/>
      <c r="R54" s="283"/>
      <c r="S54" s="283"/>
      <c r="T54" s="283"/>
      <c r="U54" s="25">
        <f>SUM(V54:Y54)</f>
        <v>0</v>
      </c>
      <c r="V54" s="25"/>
      <c r="W54" s="283"/>
      <c r="X54" s="283"/>
      <c r="Y54" s="283"/>
      <c r="Z54" s="25">
        <v>1200</v>
      </c>
      <c r="AA54" s="341"/>
      <c r="AB54" s="25">
        <v>1200</v>
      </c>
      <c r="AC54" s="350"/>
      <c r="AE54" s="293" t="s">
        <v>290</v>
      </c>
      <c r="AF54" s="293" t="s">
        <v>284</v>
      </c>
      <c r="AG54" s="302">
        <f t="shared" si="27"/>
        <v>1200</v>
      </c>
      <c r="AH54" s="302"/>
      <c r="AI54" s="302"/>
      <c r="AJ54" s="302"/>
    </row>
    <row r="55" spans="1:36" ht="60.9" customHeight="1">
      <c r="A55" s="334">
        <f t="shared" ref="A55:A56" si="28">+A54+1</f>
        <v>3</v>
      </c>
      <c r="B55" s="368" t="s">
        <v>104</v>
      </c>
      <c r="C55" s="338" t="s">
        <v>110</v>
      </c>
      <c r="D55" s="337" t="s">
        <v>19</v>
      </c>
      <c r="E55" s="338" t="s">
        <v>100</v>
      </c>
      <c r="F55" s="369" t="s">
        <v>101</v>
      </c>
      <c r="G55" s="363" t="s">
        <v>1003</v>
      </c>
      <c r="H55" s="524">
        <v>1386</v>
      </c>
      <c r="I55" s="525">
        <v>1386</v>
      </c>
      <c r="J55" s="318">
        <f t="shared" si="26"/>
        <v>1200</v>
      </c>
      <c r="K55" s="25">
        <v>1200</v>
      </c>
      <c r="L55" s="283"/>
      <c r="M55" s="283"/>
      <c r="N55" s="283"/>
      <c r="O55" s="283"/>
      <c r="P55" s="283"/>
      <c r="Q55" s="283"/>
      <c r="R55" s="283"/>
      <c r="S55" s="283"/>
      <c r="T55" s="283"/>
      <c r="U55" s="25">
        <f>SUM(V55:Y55)</f>
        <v>0</v>
      </c>
      <c r="V55" s="25"/>
      <c r="W55" s="283"/>
      <c r="X55" s="283"/>
      <c r="Y55" s="283"/>
      <c r="Z55" s="25">
        <v>1200</v>
      </c>
      <c r="AA55" s="341"/>
      <c r="AB55" s="25">
        <v>1200</v>
      </c>
      <c r="AC55" s="350"/>
      <c r="AE55" s="293" t="s">
        <v>290</v>
      </c>
      <c r="AF55" s="293" t="s">
        <v>284</v>
      </c>
      <c r="AG55" s="302">
        <f t="shared" si="27"/>
        <v>1200</v>
      </c>
      <c r="AH55" s="302"/>
      <c r="AI55" s="302"/>
      <c r="AJ55" s="302"/>
    </row>
    <row r="56" spans="1:36" ht="60.9" customHeight="1">
      <c r="A56" s="334">
        <f t="shared" si="28"/>
        <v>4</v>
      </c>
      <c r="B56" s="368" t="s">
        <v>105</v>
      </c>
      <c r="C56" s="338" t="s">
        <v>111</v>
      </c>
      <c r="D56" s="337" t="s">
        <v>19</v>
      </c>
      <c r="E56" s="338" t="s">
        <v>100</v>
      </c>
      <c r="F56" s="369" t="s">
        <v>101</v>
      </c>
      <c r="G56" s="363" t="s">
        <v>1004</v>
      </c>
      <c r="H56" s="524">
        <v>1386</v>
      </c>
      <c r="I56" s="525">
        <v>1386</v>
      </c>
      <c r="J56" s="318">
        <f t="shared" si="26"/>
        <v>1200</v>
      </c>
      <c r="K56" s="25">
        <v>1200</v>
      </c>
      <c r="L56" s="283"/>
      <c r="M56" s="283"/>
      <c r="N56" s="283"/>
      <c r="O56" s="283"/>
      <c r="P56" s="283"/>
      <c r="Q56" s="283"/>
      <c r="R56" s="283"/>
      <c r="S56" s="283"/>
      <c r="T56" s="283"/>
      <c r="U56" s="25">
        <f>SUM(V56:Y56)</f>
        <v>0</v>
      </c>
      <c r="V56" s="25"/>
      <c r="W56" s="283"/>
      <c r="X56" s="283"/>
      <c r="Y56" s="283"/>
      <c r="Z56" s="25">
        <v>1200</v>
      </c>
      <c r="AA56" s="341"/>
      <c r="AB56" s="25">
        <v>1200</v>
      </c>
      <c r="AC56" s="350"/>
      <c r="AE56" s="293" t="s">
        <v>290</v>
      </c>
      <c r="AF56" s="293" t="s">
        <v>284</v>
      </c>
      <c r="AG56" s="302">
        <f t="shared" si="27"/>
        <v>1200</v>
      </c>
      <c r="AH56" s="302"/>
      <c r="AI56" s="302"/>
      <c r="AJ56" s="302"/>
    </row>
    <row r="57" spans="1:36" s="316" customFormat="1" ht="60" customHeight="1">
      <c r="A57" s="452" t="s">
        <v>297</v>
      </c>
      <c r="B57" s="310" t="s">
        <v>817</v>
      </c>
      <c r="C57" s="452"/>
      <c r="D57" s="452"/>
      <c r="E57" s="452"/>
      <c r="F57" s="452"/>
      <c r="G57" s="452"/>
      <c r="H57" s="311">
        <f t="shared" ref="H57" si="29">SUM(H58,H60,H64)</f>
        <v>0</v>
      </c>
      <c r="I57" s="311">
        <f t="shared" ref="I57" si="30">SUM(I58,I60,I64)</f>
        <v>0</v>
      </c>
      <c r="J57" s="311">
        <f t="shared" ref="J57" si="31">SUM(J58,J60,J64)</f>
        <v>61300</v>
      </c>
      <c r="K57" s="311">
        <f t="shared" ref="K57" si="32">SUM(K58,K60,K64)</f>
        <v>100000</v>
      </c>
      <c r="L57" s="311">
        <f t="shared" ref="L57" si="33">SUM(L58,L60,L64)</f>
        <v>0</v>
      </c>
      <c r="M57" s="311">
        <f t="shared" ref="M57" si="34">SUM(M58,M60,M64)</f>
        <v>0</v>
      </c>
      <c r="N57" s="311">
        <f t="shared" ref="N57" si="35">SUM(N58,N60,N64)</f>
        <v>0</v>
      </c>
      <c r="O57" s="311">
        <f t="shared" ref="O57" si="36">SUM(O58,O60,O64)</f>
        <v>-38700</v>
      </c>
      <c r="P57" s="311">
        <f t="shared" ref="P57" si="37">SUM(P58,P60,P64)</f>
        <v>0</v>
      </c>
      <c r="Q57" s="311">
        <f t="shared" ref="Q57" si="38">SUM(Q58,Q60,Q64)</f>
        <v>0</v>
      </c>
      <c r="R57" s="311">
        <f t="shared" ref="R57" si="39">SUM(R58,R60,R64)</f>
        <v>0</v>
      </c>
      <c r="S57" s="311">
        <f t="shared" ref="S57" si="40">SUM(S58,S60,S64)</f>
        <v>0</v>
      </c>
      <c r="T57" s="311">
        <f t="shared" ref="T57" si="41">SUM(T58,T60,T64)</f>
        <v>0</v>
      </c>
      <c r="U57" s="311">
        <f t="shared" ref="U57" si="42">SUM(U58,U60,U64)</f>
        <v>0</v>
      </c>
      <c r="V57" s="311">
        <f t="shared" ref="V57" si="43">SUM(V58,V60,V64)</f>
        <v>0</v>
      </c>
      <c r="W57" s="311">
        <f t="shared" ref="W57" si="44">SUM(W58,W60,W64)</f>
        <v>0</v>
      </c>
      <c r="X57" s="311">
        <f t="shared" ref="X57" si="45">SUM(X58,X60,X64)</f>
        <v>0</v>
      </c>
      <c r="Y57" s="311">
        <f t="shared" ref="Y57" si="46">SUM(Y58,Y60,Y64)</f>
        <v>0</v>
      </c>
      <c r="Z57" s="311">
        <v>35473</v>
      </c>
      <c r="AA57" s="20"/>
      <c r="AB57" s="20">
        <f>SUM(Z57,'3. XSKT'!AB80)</f>
        <v>65000</v>
      </c>
      <c r="AC57" s="240"/>
      <c r="AD57" s="312">
        <f t="shared" ref="AD57:AD58" si="47">J57-U57-Z57</f>
        <v>25827</v>
      </c>
      <c r="AE57" s="298"/>
      <c r="AF57" s="298"/>
    </row>
    <row r="58" spans="1:36" s="333" customFormat="1" ht="44.25" customHeight="1">
      <c r="A58" s="327" t="s">
        <v>16</v>
      </c>
      <c r="B58" s="328" t="s">
        <v>56</v>
      </c>
      <c r="C58" s="328"/>
      <c r="D58" s="327"/>
      <c r="E58" s="328"/>
      <c r="F58" s="328"/>
      <c r="G58" s="328"/>
      <c r="H58" s="329">
        <f t="shared" ref="H58" si="48">SUM(H59:H59)</f>
        <v>0</v>
      </c>
      <c r="I58" s="329">
        <f t="shared" ref="I58" si="49">SUM(I59:I59)</f>
        <v>0</v>
      </c>
      <c r="J58" s="329">
        <f t="shared" ref="J58" si="50">SUM(J59:J59)</f>
        <v>61300</v>
      </c>
      <c r="K58" s="329">
        <f t="shared" ref="K58" si="51">SUM(K59:K59)</f>
        <v>100000</v>
      </c>
      <c r="L58" s="329">
        <f t="shared" ref="L58" si="52">SUM(L59:L59)</f>
        <v>0</v>
      </c>
      <c r="M58" s="329">
        <f t="shared" ref="M58" si="53">SUM(M59:M59)</f>
        <v>0</v>
      </c>
      <c r="N58" s="329">
        <f t="shared" ref="N58" si="54">SUM(N59:N59)</f>
        <v>0</v>
      </c>
      <c r="O58" s="329">
        <f t="shared" ref="O58" si="55">SUM(O59:O59)</f>
        <v>-38700</v>
      </c>
      <c r="P58" s="329">
        <f t="shared" ref="P58" si="56">SUM(P59:P59)</f>
        <v>0</v>
      </c>
      <c r="Q58" s="329">
        <f t="shared" ref="Q58" si="57">SUM(Q59:Q59)</f>
        <v>0</v>
      </c>
      <c r="R58" s="329">
        <f t="shared" ref="R58" si="58">SUM(R59:R59)</f>
        <v>0</v>
      </c>
      <c r="S58" s="329">
        <f t="shared" ref="S58" si="59">SUM(S59:S59)</f>
        <v>0</v>
      </c>
      <c r="T58" s="329">
        <f t="shared" ref="T58" si="60">SUM(T59:T59)</f>
        <v>0</v>
      </c>
      <c r="U58" s="329">
        <f t="shared" ref="U58" si="61">SUM(U59:U59)</f>
        <v>0</v>
      </c>
      <c r="V58" s="329">
        <f t="shared" ref="V58" si="62">SUM(V59:V59)</f>
        <v>0</v>
      </c>
      <c r="W58" s="329">
        <f t="shared" ref="W58" si="63">SUM(W59:W59)</f>
        <v>0</v>
      </c>
      <c r="X58" s="329">
        <f t="shared" ref="X58" si="64">SUM(X59:X59)</f>
        <v>0</v>
      </c>
      <c r="Y58" s="329">
        <f t="shared" ref="Y58" si="65">SUM(Y59:Y59)</f>
        <v>0</v>
      </c>
      <c r="Z58" s="329"/>
      <c r="AA58" s="330"/>
      <c r="AB58" s="330"/>
      <c r="AC58" s="331"/>
      <c r="AD58" s="312">
        <f t="shared" si="47"/>
        <v>61300</v>
      </c>
      <c r="AE58" s="332"/>
      <c r="AF58" s="332"/>
    </row>
    <row r="59" spans="1:36" ht="110.25" customHeight="1">
      <c r="A59" s="334">
        <v>1</v>
      </c>
      <c r="B59" s="335" t="s">
        <v>234</v>
      </c>
      <c r="C59" s="334" t="s">
        <v>235</v>
      </c>
      <c r="D59" s="367" t="s">
        <v>21</v>
      </c>
      <c r="E59" s="334" t="s">
        <v>44</v>
      </c>
      <c r="F59" s="334" t="s">
        <v>39</v>
      </c>
      <c r="G59" s="371"/>
      <c r="H59" s="284"/>
      <c r="I59" s="359"/>
      <c r="J59" s="318">
        <f t="shared" ref="J59" si="66">SUM(K59,L59:T59)</f>
        <v>61300</v>
      </c>
      <c r="K59" s="36">
        <v>100000</v>
      </c>
      <c r="L59" s="25"/>
      <c r="M59" s="25"/>
      <c r="N59" s="25"/>
      <c r="O59" s="25">
        <v>-38700</v>
      </c>
      <c r="P59" s="25"/>
      <c r="Q59" s="25"/>
      <c r="R59" s="25"/>
      <c r="S59" s="25"/>
      <c r="T59" s="25"/>
      <c r="U59" s="25">
        <f>SUM(V59:Y59)</f>
        <v>0</v>
      </c>
      <c r="V59" s="36"/>
      <c r="W59" s="25"/>
      <c r="X59" s="283"/>
      <c r="Y59" s="283"/>
      <c r="Z59" s="25"/>
      <c r="AA59" s="346" t="s">
        <v>997</v>
      </c>
      <c r="AB59" s="25">
        <f>39773-4300</f>
        <v>35473</v>
      </c>
      <c r="AC59" s="346" t="s">
        <v>935</v>
      </c>
      <c r="AD59" s="302"/>
      <c r="AE59" s="293" t="s">
        <v>290</v>
      </c>
      <c r="AF59" s="293" t="s">
        <v>291</v>
      </c>
      <c r="AG59" s="302">
        <f>J59</f>
        <v>61300</v>
      </c>
      <c r="AH59" s="302" t="s">
        <v>376</v>
      </c>
      <c r="AI59" s="302"/>
      <c r="AJ59" s="302"/>
    </row>
    <row r="61" spans="1:36" ht="56.25" customHeight="1">
      <c r="A61" s="535" t="s">
        <v>958</v>
      </c>
      <c r="B61" s="535"/>
      <c r="C61" s="535"/>
      <c r="D61" s="535"/>
      <c r="E61" s="535"/>
      <c r="F61" s="535"/>
      <c r="G61" s="535"/>
      <c r="H61" s="535"/>
      <c r="I61" s="535"/>
      <c r="J61" s="535"/>
      <c r="K61" s="535"/>
      <c r="L61" s="535"/>
      <c r="M61" s="535"/>
      <c r="N61" s="535"/>
      <c r="O61" s="535"/>
      <c r="P61" s="535"/>
      <c r="Q61" s="535"/>
      <c r="R61" s="535"/>
      <c r="S61" s="535"/>
      <c r="T61" s="535"/>
      <c r="U61" s="535"/>
      <c r="V61" s="535"/>
      <c r="W61" s="535"/>
      <c r="X61" s="535"/>
      <c r="Y61" s="535"/>
      <c r="Z61" s="535"/>
      <c r="AA61" s="535"/>
    </row>
  </sheetData>
  <mergeCells count="23">
    <mergeCell ref="A1:AA1"/>
    <mergeCell ref="A2:AA2"/>
    <mergeCell ref="A4:AA4"/>
    <mergeCell ref="K7:K8"/>
    <mergeCell ref="A6:A8"/>
    <mergeCell ref="B6:B8"/>
    <mergeCell ref="C6:C8"/>
    <mergeCell ref="E6:E8"/>
    <mergeCell ref="F6:F8"/>
    <mergeCell ref="G6:I6"/>
    <mergeCell ref="D6:D8"/>
    <mergeCell ref="Z6:Z8"/>
    <mergeCell ref="A3:AA3"/>
    <mergeCell ref="J6:J8"/>
    <mergeCell ref="G7:G8"/>
    <mergeCell ref="H7:I7"/>
    <mergeCell ref="A61:AA61"/>
    <mergeCell ref="L7:T7"/>
    <mergeCell ref="AB6:AB8"/>
    <mergeCell ref="AA6:AA8"/>
    <mergeCell ref="U6:Y6"/>
    <mergeCell ref="V7:Y7"/>
    <mergeCell ref="U7:U8"/>
  </mergeCells>
  <printOptions horizontalCentered="1"/>
  <pageMargins left="0.39370078740157499" right="0.39370078740157499" top="0.39370078740157499" bottom="0.39370078740157499" header="0.196850393700787" footer="0.196850393700787"/>
  <pageSetup paperSize="9" scale="40" fitToHeight="0" orientation="landscape" r:id="rId1"/>
  <headerFooter alignWithMargins="0">
    <oddFooter>&amp;C&amp;"Times New Roman,thường"&amp;11&amp;P/&amp;N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L24"/>
  <sheetViews>
    <sheetView view="pageBreakPreview" zoomScale="60" zoomScaleNormal="70" workbookViewId="0">
      <selection activeCell="P10" sqref="P10"/>
    </sheetView>
  </sheetViews>
  <sheetFormatPr defaultColWidth="9.109375" defaultRowHeight="16.8"/>
  <cols>
    <col min="1" max="1" width="8.6640625" style="292" customWidth="1"/>
    <col min="2" max="2" width="50.6640625" style="292" customWidth="1"/>
    <col min="3" max="6" width="20.6640625" style="292" customWidth="1"/>
    <col min="7" max="7" width="22.6640625" style="292" customWidth="1"/>
    <col min="8" max="9" width="15.6640625" style="292" customWidth="1"/>
    <col min="10" max="10" width="20.6640625" style="292" customWidth="1"/>
    <col min="11" max="11" width="15.6640625" style="292" customWidth="1"/>
    <col min="12" max="14" width="15.6640625" style="292" hidden="1" customWidth="1"/>
    <col min="15" max="16" width="15.6640625" style="292" customWidth="1"/>
    <col min="17" max="17" width="40.6640625" style="292" customWidth="1"/>
    <col min="18" max="18" width="19.109375" style="292" customWidth="1"/>
    <col min="19" max="19" width="14.88671875" style="292" customWidth="1"/>
    <col min="20" max="20" width="13.44140625" style="292" customWidth="1"/>
    <col min="21" max="21" width="17.88671875" style="292" customWidth="1"/>
    <col min="22" max="22" width="19.33203125" style="292" customWidth="1"/>
    <col min="23" max="23" width="17.33203125" style="292" customWidth="1"/>
    <col min="24" max="24" width="12.44140625" style="292" customWidth="1"/>
    <col min="25" max="25" width="18.88671875" style="292" customWidth="1"/>
    <col min="26" max="16384" width="9.109375" style="292"/>
  </cols>
  <sheetData>
    <row r="1" spans="1:38" ht="39.9" customHeight="1">
      <c r="A1" s="544" t="s">
        <v>256</v>
      </c>
      <c r="B1" s="544"/>
      <c r="C1" s="544"/>
      <c r="D1" s="544"/>
      <c r="E1" s="544"/>
      <c r="F1" s="544"/>
      <c r="G1" s="544"/>
      <c r="H1" s="544"/>
      <c r="I1" s="544"/>
      <c r="J1" s="544"/>
      <c r="K1" s="544"/>
      <c r="L1" s="544"/>
      <c r="M1" s="544"/>
      <c r="N1" s="544"/>
      <c r="O1" s="544"/>
      <c r="P1" s="544"/>
      <c r="Q1" s="544"/>
    </row>
    <row r="2" spans="1:38" ht="35.1" customHeight="1">
      <c r="A2" s="545" t="s">
        <v>724</v>
      </c>
      <c r="B2" s="545"/>
      <c r="C2" s="545"/>
      <c r="D2" s="545"/>
      <c r="E2" s="545"/>
      <c r="F2" s="545"/>
      <c r="G2" s="545"/>
      <c r="H2" s="545"/>
      <c r="I2" s="545"/>
      <c r="J2" s="545"/>
      <c r="K2" s="545"/>
      <c r="L2" s="545"/>
      <c r="M2" s="545"/>
      <c r="N2" s="545"/>
      <c r="O2" s="545"/>
      <c r="P2" s="545"/>
      <c r="Q2" s="545"/>
    </row>
    <row r="3" spans="1:38" ht="35.1" customHeight="1">
      <c r="A3" s="545" t="s">
        <v>310</v>
      </c>
      <c r="B3" s="545"/>
      <c r="C3" s="545"/>
      <c r="D3" s="545"/>
      <c r="E3" s="545"/>
      <c r="F3" s="545"/>
      <c r="G3" s="545"/>
      <c r="H3" s="545"/>
      <c r="I3" s="545"/>
      <c r="J3" s="545"/>
      <c r="K3" s="545"/>
      <c r="L3" s="545"/>
      <c r="M3" s="545"/>
      <c r="N3" s="545"/>
      <c r="O3" s="545"/>
      <c r="P3" s="545"/>
      <c r="Q3" s="545"/>
    </row>
    <row r="4" spans="1:38" ht="39.9" customHeight="1">
      <c r="A4" s="556" t="str">
        <f>'1. CĐNS'!A4:AA4</f>
        <v>(Ban hành kèm theo Quyết định số: 2631/QĐ-UBND ngày 19/12 /2024 của Ủy ban nhân dân tỉnh)</v>
      </c>
      <c r="B4" s="556"/>
      <c r="C4" s="556"/>
      <c r="D4" s="556"/>
      <c r="E4" s="556"/>
      <c r="F4" s="556"/>
      <c r="G4" s="556"/>
      <c r="H4" s="556"/>
      <c r="I4" s="556"/>
      <c r="J4" s="556"/>
      <c r="K4" s="556"/>
      <c r="L4" s="556"/>
      <c r="M4" s="556"/>
      <c r="N4" s="556"/>
      <c r="O4" s="556"/>
      <c r="P4" s="556"/>
      <c r="Q4" s="556"/>
    </row>
    <row r="5" spans="1:38" ht="33.75" customHeight="1">
      <c r="J5" s="296"/>
      <c r="K5" s="296"/>
      <c r="L5" s="296"/>
      <c r="M5" s="296"/>
      <c r="N5" s="296"/>
      <c r="O5" s="296"/>
      <c r="P5" s="296"/>
      <c r="Q5" s="296" t="s">
        <v>0</v>
      </c>
    </row>
    <row r="6" spans="1:38" ht="60" customHeight="1">
      <c r="A6" s="541" t="s">
        <v>1</v>
      </c>
      <c r="B6" s="541" t="s">
        <v>2</v>
      </c>
      <c r="C6" s="541" t="s">
        <v>3</v>
      </c>
      <c r="D6" s="541" t="s">
        <v>321</v>
      </c>
      <c r="E6" s="549" t="s">
        <v>4</v>
      </c>
      <c r="F6" s="549" t="s">
        <v>5</v>
      </c>
      <c r="G6" s="549" t="s">
        <v>600</v>
      </c>
      <c r="H6" s="549"/>
      <c r="I6" s="549"/>
      <c r="J6" s="552" t="s">
        <v>850</v>
      </c>
      <c r="K6" s="543" t="s">
        <v>849</v>
      </c>
      <c r="L6" s="543"/>
      <c r="M6" s="543"/>
      <c r="N6" s="543"/>
      <c r="O6" s="543"/>
      <c r="P6" s="547" t="s">
        <v>678</v>
      </c>
      <c r="Q6" s="541" t="s">
        <v>6</v>
      </c>
      <c r="R6" s="10"/>
      <c r="S6" s="293"/>
      <c r="T6" s="293"/>
    </row>
    <row r="7" spans="1:38" ht="60" customHeight="1">
      <c r="A7" s="542"/>
      <c r="B7" s="542"/>
      <c r="C7" s="542"/>
      <c r="D7" s="542"/>
      <c r="E7" s="549"/>
      <c r="F7" s="549"/>
      <c r="G7" s="549" t="s">
        <v>7</v>
      </c>
      <c r="H7" s="549" t="s">
        <v>8</v>
      </c>
      <c r="I7" s="549"/>
      <c r="J7" s="553"/>
      <c r="K7" s="543" t="s">
        <v>9</v>
      </c>
      <c r="L7" s="543" t="s">
        <v>10</v>
      </c>
      <c r="M7" s="543"/>
      <c r="N7" s="543"/>
      <c r="O7" s="543"/>
      <c r="P7" s="551"/>
      <c r="Q7" s="542"/>
      <c r="R7" s="10"/>
      <c r="S7" s="299" t="s">
        <v>269</v>
      </c>
      <c r="T7" s="299" t="s">
        <v>270</v>
      </c>
      <c r="U7" s="300" t="s">
        <v>271</v>
      </c>
      <c r="V7" s="300"/>
      <c r="W7" s="300" t="s">
        <v>272</v>
      </c>
      <c r="X7" s="299" t="s">
        <v>273</v>
      </c>
      <c r="Y7" s="299" t="s">
        <v>274</v>
      </c>
      <c r="Z7" s="299" t="s">
        <v>275</v>
      </c>
      <c r="AA7" s="299" t="s">
        <v>276</v>
      </c>
      <c r="AB7" s="299" t="s">
        <v>277</v>
      </c>
      <c r="AC7" s="299" t="s">
        <v>278</v>
      </c>
      <c r="AD7" s="299" t="s">
        <v>279</v>
      </c>
      <c r="AE7" s="299" t="s">
        <v>280</v>
      </c>
      <c r="AF7" s="299" t="s">
        <v>281</v>
      </c>
      <c r="AG7" s="299" t="s">
        <v>282</v>
      </c>
      <c r="AH7" s="299" t="s">
        <v>283</v>
      </c>
      <c r="AI7" s="299" t="s">
        <v>284</v>
      </c>
      <c r="AJ7" s="299" t="s">
        <v>285</v>
      </c>
      <c r="AK7" s="299" t="s">
        <v>286</v>
      </c>
      <c r="AL7" s="300"/>
    </row>
    <row r="8" spans="1:38" ht="69.75" customHeight="1">
      <c r="A8" s="542"/>
      <c r="B8" s="542"/>
      <c r="C8" s="542"/>
      <c r="D8" s="550"/>
      <c r="E8" s="549"/>
      <c r="F8" s="549"/>
      <c r="G8" s="549"/>
      <c r="H8" s="301" t="s">
        <v>58</v>
      </c>
      <c r="I8" s="301" t="s">
        <v>59</v>
      </c>
      <c r="J8" s="554"/>
      <c r="K8" s="543"/>
      <c r="L8" s="289" t="s">
        <v>13</v>
      </c>
      <c r="M8" s="289" t="s">
        <v>361</v>
      </c>
      <c r="N8" s="289" t="s">
        <v>398</v>
      </c>
      <c r="O8" s="289" t="s">
        <v>499</v>
      </c>
      <c r="P8" s="548"/>
      <c r="Q8" s="542"/>
      <c r="R8" s="302"/>
      <c r="S8" s="299"/>
      <c r="T8" s="299"/>
      <c r="U8" s="300"/>
      <c r="V8" s="288" t="s">
        <v>287</v>
      </c>
      <c r="W8" s="300">
        <f>COUNTIF(S10:S1006,"CT")</f>
        <v>0</v>
      </c>
      <c r="X8" s="58">
        <f>SUMIF(S10:S1006,"CT",U10:U1006)</f>
        <v>0</v>
      </c>
      <c r="Y8" s="58">
        <f>SUMIFS($U$9:$U$1107,$S$9:$S$1107,"CT",$T$9:$T$1107,"GT")</f>
        <v>0</v>
      </c>
      <c r="Z8" s="58">
        <f>SUMIFS($U$9:$U$1107,$S$9:$S$1107,"CT",$T$9:$T$1107,"NN-TL")</f>
        <v>0</v>
      </c>
      <c r="AA8" s="58">
        <f>SUMIFS($U$9:$U$1107,$S$9:$S$1107,"CT",$T$9:$T$1107,"GDĐT")</f>
        <v>0</v>
      </c>
      <c r="AB8" s="58">
        <f>SUMIFS($U$9:$U$1107,$S$9:$S$1107,"CT",$T$9:$T$1107,"YT")</f>
        <v>0</v>
      </c>
      <c r="AC8" s="58">
        <f>SUMIFS($U$9:$U$1107,$S$9:$S$1107,"CT",$T$9:$T$1107,"VH")</f>
        <v>0</v>
      </c>
      <c r="AD8" s="58">
        <f>SUMIFS($U$9:$U$1107,$S$9:$S$1107,"CT",$T$9:$T$1107,"TTTT")</f>
        <v>0</v>
      </c>
      <c r="AE8" s="58">
        <f>SUMIFS($U$9:$U$1107,$S$9:$S$1107,"CT",$T$9:$T$1107,"XH-CC")</f>
        <v>0</v>
      </c>
      <c r="AF8" s="58">
        <f>SUMIFS($U$9:$U$1107,$S$9:$S$1107,"CT",$T$9:$T$1107,"NS")</f>
        <v>0</v>
      </c>
      <c r="AG8" s="58">
        <f>SUMIFS($U$9:$U$1107,$S$9:$S$1107,"CT",$T$9:$T$1107,"TNMT")</f>
        <v>0</v>
      </c>
      <c r="AH8" s="58">
        <f>SUMIFS($U$9:$U$1107,$S$9:$S$1107,"CT",$T$9:$T$1107,"QLNN")</f>
        <v>0</v>
      </c>
      <c r="AI8" s="58">
        <f>SUMIFS($U$9:$U$1107,$S$9:$S$1107,"CT",$T$9:$T$1107,"QPAN")</f>
        <v>0</v>
      </c>
      <c r="AJ8" s="58">
        <f>SUMIFS($U$9:$U$1107,$S$9:$S$1107,"CT",$T$9:$T$1107,"PTĐT")</f>
        <v>0</v>
      </c>
      <c r="AK8" s="58">
        <f>SUMIFS($U$9:$U$1107,$S$9:$S$1107,"CT",$T$9:$T$1107,"TMDV")</f>
        <v>0</v>
      </c>
      <c r="AL8" s="288">
        <f>SUM(Y8:AK8)</f>
        <v>0</v>
      </c>
    </row>
    <row r="9" spans="1:38" s="309" customFormat="1" ht="87.75" customHeight="1">
      <c r="A9" s="303"/>
      <c r="B9" s="304" t="s">
        <v>9</v>
      </c>
      <c r="C9" s="303"/>
      <c r="D9" s="303"/>
      <c r="E9" s="303"/>
      <c r="F9" s="303"/>
      <c r="G9" s="303"/>
      <c r="H9" s="305">
        <f>SUM(H10,H20)</f>
        <v>1493000</v>
      </c>
      <c r="I9" s="305">
        <f t="shared" ref="I9:P9" si="0">SUM(I10,I20)</f>
        <v>493000</v>
      </c>
      <c r="J9" s="305">
        <f t="shared" si="0"/>
        <v>209644</v>
      </c>
      <c r="K9" s="305">
        <f t="shared" si="0"/>
        <v>26166</v>
      </c>
      <c r="L9" s="305">
        <f t="shared" si="0"/>
        <v>0</v>
      </c>
      <c r="M9" s="305">
        <f t="shared" si="0"/>
        <v>0</v>
      </c>
      <c r="N9" s="305">
        <f t="shared" si="0"/>
        <v>16166</v>
      </c>
      <c r="O9" s="305">
        <f t="shared" si="0"/>
        <v>10000</v>
      </c>
      <c r="P9" s="305">
        <f t="shared" si="0"/>
        <v>469100</v>
      </c>
      <c r="Q9" s="164"/>
      <c r="S9" s="373"/>
      <c r="T9" s="373"/>
      <c r="U9" s="319"/>
      <c r="V9" s="319" t="s">
        <v>288</v>
      </c>
      <c r="W9" s="319">
        <f>COUNTIF(S10:S1005,"KCM")</f>
        <v>1</v>
      </c>
      <c r="X9" s="23">
        <f>SUMIF(S20:S1006,"KCM",U20:U1006)</f>
        <v>209644</v>
      </c>
      <c r="Y9" s="23">
        <f>SUMIFS($U$9:$U$1107,$S$9:$S$1107,"KCM",$T$9:$T$1107,"GT")</f>
        <v>209644</v>
      </c>
      <c r="Z9" s="23">
        <f>SUMIFS($U$9:$U$1107,$S$9:$S$1107,"KCM",$T$9:$T$1107,"NN-TL")</f>
        <v>0</v>
      </c>
      <c r="AA9" s="23">
        <f>SUMIFS($U$9:$U$1107,$S$9:$S$1107,"KCM",$T$9:$T$1107,"GDĐT")</f>
        <v>0</v>
      </c>
      <c r="AB9" s="23">
        <f>SUMIFS($U$9:$U$1107,$S$9:$S$1107,"KCM",$T$9:$T$1107,"YT")</f>
        <v>0</v>
      </c>
      <c r="AC9" s="23">
        <f>SUMIFS($U$9:$U$1107,$S$9:$S$1107,"KCM",$T$9:$T$1107,"VH")</f>
        <v>0</v>
      </c>
      <c r="AD9" s="23">
        <f>SUMIFS($U$9:$U$1107,$S$9:$S$1107,"KCM",$T$9:$T$1107,"TTTT")</f>
        <v>0</v>
      </c>
      <c r="AE9" s="23">
        <f>SUMIFS($U$9:$U$1107,$S$9:$S$1107,"KCM",$T$9:$T$1107,"XH-CC")</f>
        <v>0</v>
      </c>
      <c r="AF9" s="23">
        <f>SUMIFS($U$9:$U$1107,$S$9:$S$1107,"KCM",$T$9:$T$1107,"NS")</f>
        <v>0</v>
      </c>
      <c r="AG9" s="23">
        <f>SUMIFS($U$9:$U$1107,$S$9:$S$1107,"KCM",$T$9:$T$1107,"TNMT")</f>
        <v>0</v>
      </c>
      <c r="AH9" s="23">
        <f>SUMIFS($U$9:$U$1107,$S$9:$S$1107,"KCM",$T$9:$T$1107,"QLNN")</f>
        <v>0</v>
      </c>
      <c r="AI9" s="23">
        <f>SUMIFS($U$9:$U$1107,$S$9:$S$1107,"KCM",$T$9:$T$1107,"QPAN")</f>
        <v>0</v>
      </c>
      <c r="AJ9" s="23">
        <f>SUMIFS($U$9:$U$1107,$S$9:$S$1107,"KCM",$T$9:$T$1107,"PTĐT")</f>
        <v>0</v>
      </c>
      <c r="AK9" s="23">
        <f>SUMIFS($U$9:$U$1107,$S$9:$S$1107,"KCM",$T$9:$T$1107,"TMDV")</f>
        <v>0</v>
      </c>
      <c r="AL9" s="315">
        <f>SUM(Y9:AK9)</f>
        <v>209644</v>
      </c>
    </row>
    <row r="10" spans="1:38" s="316" customFormat="1" ht="163.5" customHeight="1">
      <c r="A10" s="301" t="s">
        <v>14</v>
      </c>
      <c r="B10" s="310" t="s">
        <v>924</v>
      </c>
      <c r="C10" s="301"/>
      <c r="D10" s="301"/>
      <c r="E10" s="301"/>
      <c r="F10" s="301"/>
      <c r="G10" s="301"/>
      <c r="H10" s="311"/>
      <c r="I10" s="311"/>
      <c r="J10" s="311"/>
      <c r="K10" s="311"/>
      <c r="L10" s="311"/>
      <c r="M10" s="311"/>
      <c r="N10" s="311"/>
      <c r="O10" s="311"/>
      <c r="P10" s="311">
        <f>SUM(P11:P18)</f>
        <v>371000</v>
      </c>
      <c r="Q10" s="437" t="s">
        <v>960</v>
      </c>
      <c r="S10" s="307"/>
      <c r="T10" s="307"/>
      <c r="U10" s="308"/>
      <c r="V10" s="308"/>
      <c r="W10" s="308"/>
      <c r="X10" s="308"/>
      <c r="Y10" s="308"/>
      <c r="Z10" s="308"/>
      <c r="AA10" s="308"/>
      <c r="AB10" s="308"/>
      <c r="AC10" s="308"/>
      <c r="AD10" s="308"/>
      <c r="AE10" s="308"/>
      <c r="AF10" s="308"/>
      <c r="AG10" s="308"/>
      <c r="AH10" s="308"/>
      <c r="AI10" s="308"/>
      <c r="AJ10" s="308"/>
      <c r="AK10" s="308"/>
      <c r="AL10" s="308"/>
    </row>
    <row r="11" spans="1:38" s="378" customFormat="1" ht="48" hidden="1" customHeight="1">
      <c r="A11" s="348"/>
      <c r="B11" s="374" t="s">
        <v>68</v>
      </c>
      <c r="C11" s="348"/>
      <c r="D11" s="348"/>
      <c r="E11" s="348"/>
      <c r="F11" s="348"/>
      <c r="G11" s="348"/>
      <c r="H11" s="318"/>
      <c r="I11" s="318"/>
      <c r="J11" s="318"/>
      <c r="K11" s="318"/>
      <c r="L11" s="318"/>
      <c r="M11" s="318"/>
      <c r="N11" s="318"/>
      <c r="O11" s="318"/>
      <c r="P11" s="318">
        <f>193500+R11</f>
        <v>215000</v>
      </c>
      <c r="Q11" s="278"/>
      <c r="R11" s="375">
        <v>21500</v>
      </c>
      <c r="S11" s="376"/>
      <c r="T11" s="376"/>
      <c r="U11" s="377"/>
      <c r="V11" s="377"/>
      <c r="W11" s="377"/>
      <c r="X11" s="377"/>
      <c r="Y11" s="377"/>
      <c r="Z11" s="377"/>
      <c r="AA11" s="377"/>
      <c r="AB11" s="377"/>
      <c r="AC11" s="377"/>
      <c r="AD11" s="377"/>
      <c r="AE11" s="377"/>
      <c r="AF11" s="377"/>
      <c r="AG11" s="377"/>
      <c r="AH11" s="377"/>
      <c r="AI11" s="377"/>
      <c r="AJ11" s="377"/>
      <c r="AK11" s="377"/>
      <c r="AL11" s="377"/>
    </row>
    <row r="12" spans="1:38" s="378" customFormat="1" ht="48" hidden="1" customHeight="1">
      <c r="A12" s="348"/>
      <c r="B12" s="374" t="s">
        <v>69</v>
      </c>
      <c r="C12" s="348"/>
      <c r="D12" s="348"/>
      <c r="E12" s="348"/>
      <c r="F12" s="348"/>
      <c r="G12" s="348"/>
      <c r="H12" s="318"/>
      <c r="I12" s="318"/>
      <c r="J12" s="318"/>
      <c r="K12" s="318"/>
      <c r="L12" s="318"/>
      <c r="M12" s="318"/>
      <c r="N12" s="318"/>
      <c r="O12" s="318"/>
      <c r="P12" s="318">
        <f>22500+R12</f>
        <v>25000</v>
      </c>
      <c r="Q12" s="278"/>
      <c r="R12" s="375">
        <v>2500</v>
      </c>
      <c r="S12" s="376"/>
      <c r="T12" s="376"/>
      <c r="U12" s="377"/>
      <c r="V12" s="377"/>
      <c r="W12" s="377"/>
      <c r="X12" s="377"/>
      <c r="Y12" s="377"/>
      <c r="Z12" s="377"/>
      <c r="AA12" s="377"/>
      <c r="AB12" s="377"/>
      <c r="AC12" s="377"/>
      <c r="AD12" s="377"/>
      <c r="AE12" s="377"/>
      <c r="AF12" s="377"/>
      <c r="AG12" s="377"/>
      <c r="AH12" s="377"/>
      <c r="AI12" s="377"/>
      <c r="AJ12" s="377"/>
      <c r="AK12" s="377"/>
      <c r="AL12" s="377"/>
    </row>
    <row r="13" spans="1:38" s="378" customFormat="1" ht="48" hidden="1" customHeight="1">
      <c r="A13" s="348"/>
      <c r="B13" s="374" t="s">
        <v>70</v>
      </c>
      <c r="C13" s="348"/>
      <c r="D13" s="348"/>
      <c r="E13" s="348"/>
      <c r="F13" s="348"/>
      <c r="G13" s="348"/>
      <c r="H13" s="318"/>
      <c r="I13" s="318"/>
      <c r="J13" s="318"/>
      <c r="K13" s="318"/>
      <c r="L13" s="318"/>
      <c r="M13" s="318"/>
      <c r="N13" s="318"/>
      <c r="O13" s="318"/>
      <c r="P13" s="318">
        <f>27000+R13</f>
        <v>30000</v>
      </c>
      <c r="Q13" s="278"/>
      <c r="R13" s="375">
        <v>3000</v>
      </c>
      <c r="S13" s="376"/>
      <c r="T13" s="376"/>
      <c r="U13" s="377"/>
      <c r="V13" s="377"/>
      <c r="W13" s="377"/>
      <c r="X13" s="377"/>
      <c r="Y13" s="377"/>
      <c r="Z13" s="377"/>
      <c r="AA13" s="377"/>
      <c r="AB13" s="377"/>
      <c r="AC13" s="377"/>
      <c r="AD13" s="377"/>
      <c r="AE13" s="377"/>
      <c r="AF13" s="377"/>
      <c r="AG13" s="377"/>
      <c r="AH13" s="377"/>
      <c r="AI13" s="377"/>
      <c r="AJ13" s="377"/>
      <c r="AK13" s="377"/>
      <c r="AL13" s="377"/>
    </row>
    <row r="14" spans="1:38" s="378" customFormat="1" ht="48" hidden="1" customHeight="1">
      <c r="A14" s="348"/>
      <c r="B14" s="374" t="s">
        <v>71</v>
      </c>
      <c r="C14" s="348"/>
      <c r="D14" s="348"/>
      <c r="E14" s="348"/>
      <c r="F14" s="348"/>
      <c r="G14" s="348"/>
      <c r="H14" s="318"/>
      <c r="I14" s="318"/>
      <c r="J14" s="318"/>
      <c r="K14" s="318"/>
      <c r="L14" s="318"/>
      <c r="M14" s="318"/>
      <c r="N14" s="318"/>
      <c r="O14" s="318"/>
      <c r="P14" s="318">
        <f>24300+R14</f>
        <v>27000</v>
      </c>
      <c r="Q14" s="278"/>
      <c r="R14" s="375">
        <v>2700</v>
      </c>
      <c r="S14" s="376"/>
      <c r="T14" s="376"/>
      <c r="U14" s="377"/>
      <c r="V14" s="377"/>
      <c r="W14" s="377"/>
      <c r="X14" s="377"/>
      <c r="Y14" s="377"/>
      <c r="Z14" s="377"/>
      <c r="AA14" s="377"/>
      <c r="AB14" s="377"/>
      <c r="AC14" s="377"/>
      <c r="AD14" s="377"/>
      <c r="AE14" s="377"/>
      <c r="AF14" s="377"/>
      <c r="AG14" s="377"/>
      <c r="AH14" s="377"/>
      <c r="AI14" s="377"/>
      <c r="AJ14" s="377"/>
      <c r="AK14" s="377"/>
      <c r="AL14" s="377"/>
    </row>
    <row r="15" spans="1:38" s="378" customFormat="1" ht="48" hidden="1" customHeight="1">
      <c r="A15" s="348"/>
      <c r="B15" s="374" t="s">
        <v>72</v>
      </c>
      <c r="C15" s="348"/>
      <c r="D15" s="348"/>
      <c r="E15" s="348"/>
      <c r="F15" s="348"/>
      <c r="G15" s="348"/>
      <c r="H15" s="318"/>
      <c r="I15" s="318"/>
      <c r="J15" s="318"/>
      <c r="K15" s="318"/>
      <c r="L15" s="318"/>
      <c r="M15" s="318"/>
      <c r="N15" s="318"/>
      <c r="O15" s="318"/>
      <c r="P15" s="318">
        <f>16200+R15</f>
        <v>18000</v>
      </c>
      <c r="Q15" s="278"/>
      <c r="R15" s="375">
        <v>1800</v>
      </c>
      <c r="S15" s="376"/>
      <c r="T15" s="376"/>
      <c r="U15" s="377"/>
      <c r="V15" s="377"/>
      <c r="W15" s="377"/>
      <c r="X15" s="377"/>
      <c r="Y15" s="377"/>
      <c r="Z15" s="377"/>
      <c r="AA15" s="377"/>
      <c r="AB15" s="377"/>
      <c r="AC15" s="377"/>
      <c r="AD15" s="377"/>
      <c r="AE15" s="377"/>
      <c r="AF15" s="377"/>
      <c r="AG15" s="377"/>
      <c r="AH15" s="377"/>
      <c r="AI15" s="377"/>
      <c r="AJ15" s="377"/>
      <c r="AK15" s="377"/>
      <c r="AL15" s="377"/>
    </row>
    <row r="16" spans="1:38" s="378" customFormat="1" ht="48" hidden="1" customHeight="1">
      <c r="A16" s="348"/>
      <c r="B16" s="374" t="s">
        <v>73</v>
      </c>
      <c r="C16" s="348"/>
      <c r="D16" s="348"/>
      <c r="E16" s="348"/>
      <c r="F16" s="348"/>
      <c r="G16" s="348"/>
      <c r="H16" s="318"/>
      <c r="I16" s="318"/>
      <c r="J16" s="318"/>
      <c r="K16" s="318"/>
      <c r="L16" s="318"/>
      <c r="M16" s="318"/>
      <c r="N16" s="318"/>
      <c r="O16" s="318"/>
      <c r="P16" s="318">
        <f>18000+R16</f>
        <v>20000</v>
      </c>
      <c r="Q16" s="278"/>
      <c r="R16" s="375">
        <v>2000</v>
      </c>
      <c r="S16" s="376"/>
      <c r="T16" s="376"/>
      <c r="U16" s="377"/>
      <c r="V16" s="377"/>
      <c r="W16" s="377"/>
      <c r="X16" s="377"/>
      <c r="Y16" s="377"/>
      <c r="Z16" s="377"/>
      <c r="AA16" s="377"/>
      <c r="AB16" s="377"/>
      <c r="AC16" s="377"/>
      <c r="AD16" s="377"/>
      <c r="AE16" s="377"/>
      <c r="AF16" s="377"/>
      <c r="AG16" s="377"/>
      <c r="AH16" s="377"/>
      <c r="AI16" s="377"/>
      <c r="AJ16" s="377"/>
      <c r="AK16" s="377"/>
      <c r="AL16" s="377"/>
    </row>
    <row r="17" spans="1:38" s="378" customFormat="1" ht="48" hidden="1" customHeight="1">
      <c r="A17" s="348"/>
      <c r="B17" s="374" t="s">
        <v>74</v>
      </c>
      <c r="C17" s="348"/>
      <c r="D17" s="348"/>
      <c r="E17" s="348"/>
      <c r="F17" s="348"/>
      <c r="G17" s="348"/>
      <c r="H17" s="318"/>
      <c r="I17" s="318"/>
      <c r="J17" s="318"/>
      <c r="K17" s="318"/>
      <c r="L17" s="318"/>
      <c r="M17" s="318"/>
      <c r="N17" s="318"/>
      <c r="O17" s="318"/>
      <c r="P17" s="318">
        <f>25200+R17</f>
        <v>28000</v>
      </c>
      <c r="Q17" s="278"/>
      <c r="R17" s="375">
        <v>2800</v>
      </c>
      <c r="S17" s="376"/>
      <c r="T17" s="376"/>
      <c r="U17" s="377"/>
      <c r="V17" s="377"/>
      <c r="W17" s="377"/>
      <c r="X17" s="377"/>
      <c r="Y17" s="377"/>
      <c r="Z17" s="377"/>
      <c r="AA17" s="377"/>
      <c r="AB17" s="377"/>
      <c r="AC17" s="377"/>
      <c r="AD17" s="377"/>
      <c r="AE17" s="377"/>
      <c r="AF17" s="377"/>
      <c r="AG17" s="377"/>
      <c r="AH17" s="377"/>
      <c r="AI17" s="377"/>
      <c r="AJ17" s="377"/>
      <c r="AK17" s="377"/>
      <c r="AL17" s="377"/>
    </row>
    <row r="18" spans="1:38" s="378" customFormat="1" ht="48" hidden="1" customHeight="1">
      <c r="A18" s="348"/>
      <c r="B18" s="374" t="s">
        <v>75</v>
      </c>
      <c r="C18" s="348"/>
      <c r="D18" s="348"/>
      <c r="E18" s="348"/>
      <c r="F18" s="348"/>
      <c r="G18" s="348"/>
      <c r="H18" s="318"/>
      <c r="I18" s="318"/>
      <c r="J18" s="318"/>
      <c r="K18" s="318"/>
      <c r="L18" s="318"/>
      <c r="M18" s="318"/>
      <c r="N18" s="318"/>
      <c r="O18" s="318"/>
      <c r="P18" s="318">
        <f>7200+R18</f>
        <v>8000</v>
      </c>
      <c r="Q18" s="278"/>
      <c r="R18" s="375">
        <v>800</v>
      </c>
      <c r="S18" s="376"/>
      <c r="T18" s="376"/>
      <c r="U18" s="377"/>
      <c r="V18" s="377"/>
      <c r="W18" s="377"/>
      <c r="X18" s="377"/>
      <c r="Y18" s="377"/>
      <c r="Z18" s="377"/>
      <c r="AA18" s="377"/>
      <c r="AB18" s="377"/>
      <c r="AC18" s="377"/>
      <c r="AD18" s="377"/>
      <c r="AE18" s="377"/>
      <c r="AF18" s="377"/>
      <c r="AG18" s="377"/>
      <c r="AH18" s="377"/>
      <c r="AI18" s="377"/>
      <c r="AJ18" s="377"/>
      <c r="AK18" s="377"/>
      <c r="AL18" s="377"/>
    </row>
    <row r="19" spans="1:38" s="378" customFormat="1" ht="48" customHeight="1">
      <c r="A19" s="321" t="s">
        <v>34</v>
      </c>
      <c r="B19" s="322" t="s">
        <v>925</v>
      </c>
      <c r="C19" s="348"/>
      <c r="D19" s="348"/>
      <c r="E19" s="348"/>
      <c r="F19" s="348"/>
      <c r="G19" s="348"/>
      <c r="H19" s="311">
        <f>SUM(H20)</f>
        <v>1493000</v>
      </c>
      <c r="I19" s="311">
        <f t="shared" ref="I19:P20" si="1">SUM(I20)</f>
        <v>493000</v>
      </c>
      <c r="J19" s="311">
        <f t="shared" si="1"/>
        <v>209644</v>
      </c>
      <c r="K19" s="311">
        <f t="shared" si="1"/>
        <v>26166</v>
      </c>
      <c r="L19" s="311">
        <f t="shared" si="1"/>
        <v>0</v>
      </c>
      <c r="M19" s="311">
        <f t="shared" si="1"/>
        <v>0</v>
      </c>
      <c r="N19" s="311">
        <f t="shared" si="1"/>
        <v>16166</v>
      </c>
      <c r="O19" s="311">
        <f t="shared" si="1"/>
        <v>10000</v>
      </c>
      <c r="P19" s="311">
        <f t="shared" si="1"/>
        <v>98100</v>
      </c>
      <c r="Q19" s="278"/>
      <c r="R19" s="375"/>
      <c r="S19" s="376"/>
      <c r="T19" s="376"/>
      <c r="U19" s="377"/>
      <c r="V19" s="377"/>
      <c r="W19" s="377"/>
      <c r="X19" s="377"/>
      <c r="Y19" s="377"/>
      <c r="Z19" s="377"/>
      <c r="AA19" s="377"/>
      <c r="AB19" s="377"/>
      <c r="AC19" s="377"/>
      <c r="AD19" s="377"/>
      <c r="AE19" s="377"/>
      <c r="AF19" s="377"/>
      <c r="AG19" s="377"/>
      <c r="AH19" s="377"/>
      <c r="AI19" s="377"/>
      <c r="AJ19" s="377"/>
      <c r="AK19" s="377"/>
      <c r="AL19" s="377"/>
    </row>
    <row r="20" spans="1:38" s="316" customFormat="1" ht="38.25" customHeight="1">
      <c r="A20" s="301" t="s">
        <v>295</v>
      </c>
      <c r="B20" s="310" t="s">
        <v>689</v>
      </c>
      <c r="C20" s="301"/>
      <c r="D20" s="301"/>
      <c r="E20" s="301"/>
      <c r="F20" s="301"/>
      <c r="G20" s="301"/>
      <c r="H20" s="311">
        <f>SUM(H21)</f>
        <v>1493000</v>
      </c>
      <c r="I20" s="311">
        <f t="shared" si="1"/>
        <v>493000</v>
      </c>
      <c r="J20" s="311">
        <f t="shared" si="1"/>
        <v>209644</v>
      </c>
      <c r="K20" s="311">
        <f t="shared" si="1"/>
        <v>26166</v>
      </c>
      <c r="L20" s="311">
        <f t="shared" si="1"/>
        <v>0</v>
      </c>
      <c r="M20" s="311">
        <f t="shared" si="1"/>
        <v>0</v>
      </c>
      <c r="N20" s="311">
        <f t="shared" si="1"/>
        <v>16166</v>
      </c>
      <c r="O20" s="311">
        <f t="shared" si="1"/>
        <v>10000</v>
      </c>
      <c r="P20" s="311">
        <f t="shared" si="1"/>
        <v>98100</v>
      </c>
      <c r="Q20" s="20"/>
      <c r="S20" s="313"/>
      <c r="T20" s="313"/>
      <c r="U20" s="314"/>
      <c r="V20" s="319" t="s">
        <v>288</v>
      </c>
      <c r="W20" s="314">
        <f>SUM(Y20:AK20)</f>
        <v>1</v>
      </c>
      <c r="X20" s="314"/>
      <c r="Y20" s="314">
        <f>COUNTIFS($S$9:$S$1005,"KCM",$T$9:$T$1005,"GT")</f>
        <v>1</v>
      </c>
      <c r="Z20" s="314">
        <f>COUNTIFS($S$9:$S$1005,"KCM",$T$9:$T$1005,"NN-TL")</f>
        <v>0</v>
      </c>
      <c r="AA20" s="314">
        <f>COUNTIFS($S$9:$S$1005,"KCM",$T$9:$T$1005,"GDĐT")</f>
        <v>0</v>
      </c>
      <c r="AB20" s="314">
        <f>COUNTIFS($S$9:$S$1005,"KCM",$T$9:$T$1005,"YT")</f>
        <v>0</v>
      </c>
      <c r="AC20" s="314">
        <f>COUNTIFS($S$9:$S$1005,"KCM",$T$9:$T$1005,"VH")</f>
        <v>0</v>
      </c>
      <c r="AD20" s="314">
        <f>COUNTIFS($S$9:$S$1005,"KCM",$T$9:$T$1005,"TTTT")</f>
        <v>0</v>
      </c>
      <c r="AE20" s="314">
        <f>COUNTIFS($S$9:$S$1005,"KCM",$T$9:$T$1005,"XH-CC")</f>
        <v>0</v>
      </c>
      <c r="AF20" s="314">
        <f>COUNTIFS($S$9:$S$1005,"KCM",$T$9:$T$1005,"NS")</f>
        <v>0</v>
      </c>
      <c r="AG20" s="314">
        <f>COUNTIFS($S$9:$S$1005,"KCM",$T$9:$T$1005,"TNMT")</f>
        <v>0</v>
      </c>
      <c r="AH20" s="314">
        <f>COUNTIFS($S$9:$S$1005,"KCM",$T$9:$T$1005,"QLNN")</f>
        <v>0</v>
      </c>
      <c r="AI20" s="314">
        <f>COUNTIFS($S$9:$S$1005,"KCM",$T$9:$T$1005,"QPAN")</f>
        <v>0</v>
      </c>
      <c r="AJ20" s="314">
        <f>COUNTIFS($S$9:$S$1005,"KCM",$T$9:$T$1005,"PTĐT")</f>
        <v>0</v>
      </c>
      <c r="AK20" s="314">
        <f>COUNTIFS($S$9:$S$1005,"KCM",$T$9:$T$1005,"TMDV")</f>
        <v>0</v>
      </c>
      <c r="AL20" s="314"/>
    </row>
    <row r="21" spans="1:38" s="333" customFormat="1" ht="37.5" customHeight="1">
      <c r="A21" s="327" t="s">
        <v>16</v>
      </c>
      <c r="B21" s="328" t="s">
        <v>56</v>
      </c>
      <c r="C21" s="328"/>
      <c r="D21" s="328"/>
      <c r="E21" s="328"/>
      <c r="F21" s="328"/>
      <c r="G21" s="328"/>
      <c r="H21" s="329">
        <f t="shared" ref="H21:P21" si="2">SUM(H22:H22)</f>
        <v>1493000</v>
      </c>
      <c r="I21" s="329">
        <f t="shared" si="2"/>
        <v>493000</v>
      </c>
      <c r="J21" s="329">
        <f t="shared" si="2"/>
        <v>209644</v>
      </c>
      <c r="K21" s="329">
        <f t="shared" si="2"/>
        <v>26166</v>
      </c>
      <c r="L21" s="329">
        <f t="shared" si="2"/>
        <v>0</v>
      </c>
      <c r="M21" s="329">
        <f t="shared" si="2"/>
        <v>0</v>
      </c>
      <c r="N21" s="329">
        <f t="shared" si="2"/>
        <v>16166</v>
      </c>
      <c r="O21" s="329">
        <f t="shared" si="2"/>
        <v>10000</v>
      </c>
      <c r="P21" s="329">
        <f t="shared" si="2"/>
        <v>98100</v>
      </c>
      <c r="Q21" s="330"/>
    </row>
    <row r="22" spans="1:38" ht="95.25" customHeight="1">
      <c r="A22" s="334">
        <v>1</v>
      </c>
      <c r="B22" s="358" t="s">
        <v>218</v>
      </c>
      <c r="C22" s="281" t="s">
        <v>220</v>
      </c>
      <c r="D22" s="337" t="s">
        <v>21</v>
      </c>
      <c r="E22" s="281" t="s">
        <v>223</v>
      </c>
      <c r="F22" s="281" t="s">
        <v>39</v>
      </c>
      <c r="G22" s="334" t="s">
        <v>360</v>
      </c>
      <c r="H22" s="283">
        <v>1493000</v>
      </c>
      <c r="I22" s="283">
        <v>493000</v>
      </c>
      <c r="J22" s="25">
        <v>209644</v>
      </c>
      <c r="K22" s="283">
        <f>SUM(L22:O22)</f>
        <v>26166</v>
      </c>
      <c r="L22" s="25"/>
      <c r="M22" s="283"/>
      <c r="N22" s="283">
        <v>16166</v>
      </c>
      <c r="O22" s="283">
        <v>10000</v>
      </c>
      <c r="P22" s="318">
        <v>98100</v>
      </c>
      <c r="Q22" s="341" t="s">
        <v>938</v>
      </c>
      <c r="S22" s="292" t="s">
        <v>290</v>
      </c>
      <c r="T22" s="292" t="s">
        <v>291</v>
      </c>
      <c r="U22" s="302">
        <f>J22</f>
        <v>209644</v>
      </c>
    </row>
    <row r="23" spans="1:38" ht="15" customHeight="1">
      <c r="A23" s="293"/>
      <c r="C23" s="379"/>
      <c r="D23" s="380"/>
      <c r="E23" s="381"/>
      <c r="F23" s="382"/>
      <c r="G23" s="383"/>
      <c r="H23" s="384"/>
      <c r="I23" s="384"/>
      <c r="J23" s="385"/>
      <c r="K23" s="385"/>
      <c r="L23" s="6"/>
      <c r="M23" s="384"/>
      <c r="N23" s="384"/>
      <c r="O23" s="384"/>
      <c r="P23" s="384"/>
      <c r="Q23" s="350"/>
    </row>
    <row r="24" spans="1:38" ht="78" customHeight="1">
      <c r="A24" s="555" t="s">
        <v>959</v>
      </c>
      <c r="B24" s="535"/>
      <c r="C24" s="535"/>
      <c r="D24" s="535"/>
      <c r="E24" s="535"/>
      <c r="F24" s="535"/>
      <c r="G24" s="535"/>
      <c r="H24" s="535"/>
      <c r="I24" s="535"/>
      <c r="J24" s="535"/>
      <c r="K24" s="535"/>
      <c r="L24" s="535"/>
      <c r="M24" s="535"/>
      <c r="N24" s="535"/>
      <c r="O24" s="535"/>
      <c r="P24" s="535"/>
      <c r="Q24" s="535"/>
    </row>
  </sheetData>
  <mergeCells count="20">
    <mergeCell ref="A3:Q3"/>
    <mergeCell ref="H7:I7"/>
    <mergeCell ref="K7:K8"/>
    <mergeCell ref="J6:J8"/>
    <mergeCell ref="P6:P8"/>
    <mergeCell ref="K6:O6"/>
    <mergeCell ref="L7:O7"/>
    <mergeCell ref="A24:Q24"/>
    <mergeCell ref="A1:Q1"/>
    <mergeCell ref="A2:Q2"/>
    <mergeCell ref="A4:Q4"/>
    <mergeCell ref="A6:A8"/>
    <mergeCell ref="B6:B8"/>
    <mergeCell ref="C6:C8"/>
    <mergeCell ref="D6:D8"/>
    <mergeCell ref="E6:E8"/>
    <mergeCell ref="F6:F8"/>
    <mergeCell ref="G6:I6"/>
    <mergeCell ref="Q6:Q8"/>
    <mergeCell ref="G7:G8"/>
  </mergeCells>
  <printOptions horizontalCentered="1"/>
  <pageMargins left="0.39370078740157499" right="0.39370078740157499" top="0.39370078740157499" bottom="0.39370078740157499" header="0.196850393700787" footer="0.196850393700787"/>
  <pageSetup paperSize="9" scale="46" fitToHeight="0" orientation="landscape" r:id="rId1"/>
  <headerFooter alignWithMargins="0">
    <oddFooter>&amp;C&amp;"Times New Roman,thường"&amp;11&amp;P/&amp;N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A98"/>
  <sheetViews>
    <sheetView tabSelected="1" view="pageBreakPreview" zoomScale="60" zoomScaleNormal="70" workbookViewId="0">
      <selection activeCell="H79" sqref="H79"/>
    </sheetView>
  </sheetViews>
  <sheetFormatPr defaultColWidth="9.109375" defaultRowHeight="16.8"/>
  <cols>
    <col min="1" max="1" width="8.6640625" style="292" customWidth="1"/>
    <col min="2" max="2" width="50.6640625" style="292" customWidth="1"/>
    <col min="3" max="3" width="20.6640625" style="292" customWidth="1"/>
    <col min="4" max="4" width="20.6640625" style="293" customWidth="1"/>
    <col min="5" max="6" width="20.6640625" style="292" customWidth="1"/>
    <col min="7" max="7" width="22.6640625" style="292" customWidth="1"/>
    <col min="8" max="8" width="20.6640625" style="292" customWidth="1"/>
    <col min="9" max="9" width="15.6640625" style="292" customWidth="1"/>
    <col min="10" max="10" width="20.6640625" style="292" customWidth="1"/>
    <col min="11" max="20" width="15.6640625" style="292" hidden="1" customWidth="1"/>
    <col min="21" max="21" width="15.6640625" style="292" customWidth="1"/>
    <col min="22" max="24" width="15.6640625" style="292" hidden="1" customWidth="1"/>
    <col min="25" max="26" width="15.6640625" style="292" customWidth="1"/>
    <col min="27" max="29" width="40.6640625" style="292" customWidth="1"/>
    <col min="30" max="30" width="20.6640625" style="292" customWidth="1"/>
    <col min="31" max="31" width="14.88671875" style="293" customWidth="1"/>
    <col min="32" max="32" width="13.44140625" style="293" customWidth="1"/>
    <col min="33" max="33" width="17.88671875" style="292" customWidth="1"/>
    <col min="34" max="35" width="9" style="292" bestFit="1" customWidth="1"/>
    <col min="36" max="36" width="6.44140625" style="292" bestFit="1" customWidth="1"/>
    <col min="37" max="37" width="19.33203125" style="292" customWidth="1"/>
    <col min="38" max="38" width="17.33203125" style="292" customWidth="1"/>
    <col min="39" max="53" width="15.109375" style="292" customWidth="1"/>
    <col min="54" max="16384" width="9.109375" style="292"/>
  </cols>
  <sheetData>
    <row r="1" spans="1:53" ht="39.9" customHeight="1">
      <c r="A1" s="544" t="s">
        <v>258</v>
      </c>
      <c r="B1" s="544"/>
      <c r="C1" s="544"/>
      <c r="D1" s="544"/>
      <c r="E1" s="544"/>
      <c r="F1" s="544"/>
      <c r="G1" s="544"/>
      <c r="H1" s="544"/>
      <c r="I1" s="544"/>
      <c r="J1" s="544"/>
      <c r="K1" s="544"/>
      <c r="L1" s="544"/>
      <c r="M1" s="544"/>
      <c r="N1" s="544"/>
      <c r="O1" s="544"/>
      <c r="P1" s="544"/>
      <c r="Q1" s="544"/>
      <c r="R1" s="544"/>
      <c r="S1" s="544"/>
      <c r="T1" s="544"/>
      <c r="U1" s="544"/>
      <c r="V1" s="544"/>
      <c r="W1" s="544"/>
      <c r="X1" s="544"/>
      <c r="Y1" s="544"/>
      <c r="Z1" s="544"/>
      <c r="AA1" s="544"/>
      <c r="AB1" s="441"/>
      <c r="AC1" s="441"/>
    </row>
    <row r="2" spans="1:53" ht="35.1" customHeight="1">
      <c r="A2" s="545" t="s">
        <v>724</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442"/>
      <c r="AC2" s="442"/>
    </row>
    <row r="3" spans="1:53" ht="35.1" customHeight="1">
      <c r="A3" s="545" t="s">
        <v>311</v>
      </c>
      <c r="B3" s="545"/>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442"/>
      <c r="AC3" s="442"/>
    </row>
    <row r="4" spans="1:53" ht="39.9" customHeight="1">
      <c r="A4" s="556" t="str">
        <f>'2. SDĐ'!A4:Q4</f>
        <v>(Ban hành kèm theo Quyết định số: 2631/QĐ-UBND ngày 19/12 /2024 của Ủy ban nhân dân tỉnh)</v>
      </c>
      <c r="B4" s="556"/>
      <c r="C4" s="556"/>
      <c r="D4" s="556"/>
      <c r="E4" s="556"/>
      <c r="F4" s="556"/>
      <c r="G4" s="556"/>
      <c r="H4" s="556"/>
      <c r="I4" s="556"/>
      <c r="J4" s="556"/>
      <c r="K4" s="556"/>
      <c r="L4" s="556"/>
      <c r="M4" s="556"/>
      <c r="N4" s="556"/>
      <c r="O4" s="556"/>
      <c r="P4" s="556"/>
      <c r="Q4" s="556"/>
      <c r="R4" s="556"/>
      <c r="S4" s="556"/>
      <c r="T4" s="556"/>
      <c r="U4" s="556"/>
      <c r="V4" s="556"/>
      <c r="W4" s="556"/>
      <c r="X4" s="556"/>
      <c r="Y4" s="556"/>
      <c r="Z4" s="556"/>
      <c r="AA4" s="556"/>
      <c r="AB4" s="444"/>
      <c r="AC4" s="444"/>
    </row>
    <row r="5" spans="1:53" ht="33.75" customHeight="1">
      <c r="J5" s="296"/>
      <c r="K5" s="296"/>
      <c r="L5" s="296"/>
      <c r="M5" s="296"/>
      <c r="N5" s="296"/>
      <c r="O5" s="296"/>
      <c r="P5" s="296"/>
      <c r="Q5" s="296"/>
      <c r="R5" s="296"/>
      <c r="S5" s="296"/>
      <c r="T5" s="296"/>
      <c r="U5" s="296"/>
      <c r="V5" s="296"/>
      <c r="W5" s="296"/>
      <c r="X5" s="296"/>
      <c r="Y5" s="296"/>
      <c r="Z5" s="296"/>
      <c r="AA5" s="296" t="s">
        <v>0</v>
      </c>
      <c r="AB5" s="297"/>
      <c r="AC5" s="297"/>
    </row>
    <row r="6" spans="1:53" ht="60" customHeight="1">
      <c r="A6" s="541" t="s">
        <v>1</v>
      </c>
      <c r="B6" s="541" t="s">
        <v>2</v>
      </c>
      <c r="C6" s="541" t="s">
        <v>3</v>
      </c>
      <c r="D6" s="541" t="s">
        <v>321</v>
      </c>
      <c r="E6" s="549" t="s">
        <v>4</v>
      </c>
      <c r="F6" s="549" t="s">
        <v>5</v>
      </c>
      <c r="G6" s="549" t="s">
        <v>600</v>
      </c>
      <c r="H6" s="549"/>
      <c r="I6" s="549"/>
      <c r="J6" s="552" t="s">
        <v>850</v>
      </c>
      <c r="K6" s="552" t="s">
        <v>697</v>
      </c>
      <c r="L6" s="552" t="s">
        <v>697</v>
      </c>
      <c r="M6" s="552" t="s">
        <v>697</v>
      </c>
      <c r="N6" s="552" t="s">
        <v>697</v>
      </c>
      <c r="O6" s="552" t="s">
        <v>697</v>
      </c>
      <c r="P6" s="552" t="s">
        <v>697</v>
      </c>
      <c r="Q6" s="552" t="s">
        <v>697</v>
      </c>
      <c r="R6" s="552" t="s">
        <v>697</v>
      </c>
      <c r="S6" s="552" t="s">
        <v>697</v>
      </c>
      <c r="T6" s="552" t="s">
        <v>697</v>
      </c>
      <c r="U6" s="543" t="s">
        <v>849</v>
      </c>
      <c r="V6" s="543"/>
      <c r="W6" s="543"/>
      <c r="X6" s="543"/>
      <c r="Y6" s="543"/>
      <c r="Z6" s="547" t="s">
        <v>678</v>
      </c>
      <c r="AA6" s="541" t="s">
        <v>6</v>
      </c>
      <c r="AB6" s="549" t="s">
        <v>927</v>
      </c>
      <c r="AC6" s="298"/>
      <c r="AD6" s="10"/>
    </row>
    <row r="7" spans="1:53" ht="60" customHeight="1">
      <c r="A7" s="542"/>
      <c r="B7" s="542"/>
      <c r="C7" s="542"/>
      <c r="D7" s="542"/>
      <c r="E7" s="549"/>
      <c r="F7" s="549"/>
      <c r="G7" s="549" t="s">
        <v>7</v>
      </c>
      <c r="H7" s="549" t="s">
        <v>8</v>
      </c>
      <c r="I7" s="549"/>
      <c r="J7" s="553"/>
      <c r="K7" s="553"/>
      <c r="L7" s="553"/>
      <c r="M7" s="553"/>
      <c r="N7" s="553"/>
      <c r="O7" s="553"/>
      <c r="P7" s="553"/>
      <c r="Q7" s="553"/>
      <c r="R7" s="553"/>
      <c r="S7" s="553"/>
      <c r="T7" s="553"/>
      <c r="U7" s="543" t="s">
        <v>9</v>
      </c>
      <c r="V7" s="543" t="s">
        <v>10</v>
      </c>
      <c r="W7" s="543"/>
      <c r="X7" s="543"/>
      <c r="Y7" s="543"/>
      <c r="Z7" s="551"/>
      <c r="AA7" s="542"/>
      <c r="AB7" s="549"/>
      <c r="AC7" s="298"/>
      <c r="AD7" s="10"/>
      <c r="AE7" s="299" t="s">
        <v>269</v>
      </c>
      <c r="AF7" s="299" t="s">
        <v>270</v>
      </c>
      <c r="AG7" s="300" t="s">
        <v>271</v>
      </c>
      <c r="AH7" s="300" t="s">
        <v>376</v>
      </c>
      <c r="AI7" s="300" t="s">
        <v>378</v>
      </c>
      <c r="AJ7" s="300" t="s">
        <v>377</v>
      </c>
      <c r="AK7" s="300"/>
      <c r="AL7" s="300" t="s">
        <v>272</v>
      </c>
      <c r="AM7" s="299" t="s">
        <v>273</v>
      </c>
      <c r="AN7" s="299" t="s">
        <v>274</v>
      </c>
      <c r="AO7" s="299" t="s">
        <v>275</v>
      </c>
      <c r="AP7" s="299" t="s">
        <v>276</v>
      </c>
      <c r="AQ7" s="299" t="s">
        <v>277</v>
      </c>
      <c r="AR7" s="299" t="s">
        <v>278</v>
      </c>
      <c r="AS7" s="299" t="s">
        <v>279</v>
      </c>
      <c r="AT7" s="299" t="s">
        <v>280</v>
      </c>
      <c r="AU7" s="299" t="s">
        <v>281</v>
      </c>
      <c r="AV7" s="299" t="s">
        <v>282</v>
      </c>
      <c r="AW7" s="299" t="s">
        <v>283</v>
      </c>
      <c r="AX7" s="299" t="s">
        <v>284</v>
      </c>
      <c r="AY7" s="299" t="s">
        <v>285</v>
      </c>
      <c r="AZ7" s="299" t="s">
        <v>286</v>
      </c>
      <c r="BA7" s="300"/>
    </row>
    <row r="8" spans="1:53" ht="73.5" customHeight="1">
      <c r="A8" s="542"/>
      <c r="B8" s="542"/>
      <c r="C8" s="542"/>
      <c r="D8" s="550"/>
      <c r="E8" s="549"/>
      <c r="F8" s="549"/>
      <c r="G8" s="549"/>
      <c r="H8" s="443" t="s">
        <v>58</v>
      </c>
      <c r="I8" s="443" t="s">
        <v>59</v>
      </c>
      <c r="J8" s="554"/>
      <c r="K8" s="554"/>
      <c r="L8" s="554"/>
      <c r="M8" s="554"/>
      <c r="N8" s="554"/>
      <c r="O8" s="554"/>
      <c r="P8" s="554"/>
      <c r="Q8" s="554"/>
      <c r="R8" s="554"/>
      <c r="S8" s="554"/>
      <c r="T8" s="554"/>
      <c r="U8" s="543"/>
      <c r="V8" s="440" t="s">
        <v>13</v>
      </c>
      <c r="W8" s="440" t="s">
        <v>361</v>
      </c>
      <c r="X8" s="440" t="s">
        <v>497</v>
      </c>
      <c r="Y8" s="440" t="s">
        <v>498</v>
      </c>
      <c r="Z8" s="548"/>
      <c r="AA8" s="542"/>
      <c r="AB8" s="549"/>
      <c r="AC8" s="298"/>
      <c r="AD8" s="302"/>
      <c r="AE8" s="299"/>
      <c r="AF8" s="299"/>
      <c r="AG8" s="300"/>
      <c r="AH8" s="300">
        <f>SUMIF($AH$9:$AH$834,AH7,$AG$9:$AG$834)</f>
        <v>261635</v>
      </c>
      <c r="AI8" s="300">
        <f>SUMIF($AH$9:$AH$834,AI7,$AG$9:$AG$834)</f>
        <v>2300</v>
      </c>
      <c r="AJ8" s="300">
        <f>SUMIF($AH$9:$AH$834,AJ7,$AG$9:$AG$834)</f>
        <v>0</v>
      </c>
      <c r="AK8" s="288" t="s">
        <v>287</v>
      </c>
      <c r="AL8" s="300">
        <f>COUNTIF(AE20:AE884,"CT")</f>
        <v>4</v>
      </c>
      <c r="AM8" s="58">
        <f>SUMIF(AE20:AE884,"CT",AG20:AG884)</f>
        <v>720635</v>
      </c>
      <c r="AN8" s="58">
        <f>SUMIFS($AG$9:$AG$985,$AE$9:$AE$985,"CT",$AF$9:$AF$985,"GT")</f>
        <v>261635</v>
      </c>
      <c r="AO8" s="58">
        <f>SUMIFS($AG$9:$AG$985,$AE$9:$AE$985,"CT",$AF$9:$AF$985,"NN-TL")</f>
        <v>459000</v>
      </c>
      <c r="AP8" s="58">
        <f>SUMIFS($AG$9:$AG$985,$AE$9:$AE$985,"CT",$AF$9:$AF$985,"GDĐT")</f>
        <v>0</v>
      </c>
      <c r="AQ8" s="58">
        <f>SUMIFS($AG$9:$AG$985,$AE$9:$AE$985,"CT",$AF$9:$AF$985,"YT")</f>
        <v>0</v>
      </c>
      <c r="AR8" s="58">
        <f>SUMIFS($AG$9:$AG$985,$AE$9:$AE$985,"CT",$AF$9:$AF$985,"VH")</f>
        <v>0</v>
      </c>
      <c r="AS8" s="58">
        <f>SUMIFS($AG$9:$AG$985,$AE$9:$AE$985,"CT",$AF$9:$AF$985,"TTTT")</f>
        <v>0</v>
      </c>
      <c r="AT8" s="58">
        <f>SUMIFS($AG$9:$AG$985,$AE$9:$AE$985,"CT",$AF$9:$AF$985,"XH-CC")</f>
        <v>0</v>
      </c>
      <c r="AU8" s="58">
        <f>SUMIFS($AG$9:$AG$985,$AE$9:$AE$985,"CT",$AF$9:$AF$985,"NS")</f>
        <v>0</v>
      </c>
      <c r="AV8" s="58">
        <f>SUMIFS($AG$9:$AG$985,$AE$9:$AE$985,"CT",$AF$9:$AF$985,"TNMT")</f>
        <v>0</v>
      </c>
      <c r="AW8" s="58">
        <f>SUMIFS($AG$9:$AG$985,$AE$9:$AE$985,"CT",$AF$9:$AF$985,"QLNN")</f>
        <v>0</v>
      </c>
      <c r="AX8" s="58">
        <f>SUMIFS($AG$9:$AG$985,$AE$9:$AE$985,"CT",$AF$9:$AF$985,"QPAN")</f>
        <v>0</v>
      </c>
      <c r="AY8" s="58">
        <f>SUMIFS($AG$9:$AG$985,$AE$9:$AE$985,"CT",$AF$9:$AF$985,"PTĐT")</f>
        <v>0</v>
      </c>
      <c r="AZ8" s="58">
        <f>SUMIFS($AG$9:$AG$985,$AE$9:$AE$985,"CT",$AF$9:$AF$985,"TMDV")</f>
        <v>0</v>
      </c>
      <c r="BA8" s="288">
        <f>SUM(AN8:AZ8)</f>
        <v>720635</v>
      </c>
    </row>
    <row r="9" spans="1:53" s="309" customFormat="1" ht="92.25" customHeight="1">
      <c r="A9" s="303"/>
      <c r="B9" s="304" t="s">
        <v>9</v>
      </c>
      <c r="C9" s="303"/>
      <c r="D9" s="303"/>
      <c r="E9" s="303"/>
      <c r="F9" s="303"/>
      <c r="G9" s="305">
        <f t="shared" ref="G9:Z9" si="0">SUM(G10,G19,G89,G90)</f>
        <v>0</v>
      </c>
      <c r="H9" s="305">
        <f t="shared" si="0"/>
        <v>14442340</v>
      </c>
      <c r="I9" s="305">
        <f t="shared" si="0"/>
        <v>7487588</v>
      </c>
      <c r="J9" s="305">
        <f t="shared" si="0"/>
        <v>4615459</v>
      </c>
      <c r="K9" s="305">
        <f t="shared" si="0"/>
        <v>3192656</v>
      </c>
      <c r="L9" s="305">
        <f t="shared" si="0"/>
        <v>-96165</v>
      </c>
      <c r="M9" s="305">
        <f t="shared" si="0"/>
        <v>-23000</v>
      </c>
      <c r="N9" s="305">
        <f t="shared" si="0"/>
        <v>16647</v>
      </c>
      <c r="O9" s="305">
        <f t="shared" si="0"/>
        <v>-16300</v>
      </c>
      <c r="P9" s="305">
        <f t="shared" si="0"/>
        <v>19500</v>
      </c>
      <c r="Q9" s="305">
        <f t="shared" si="0"/>
        <v>321800</v>
      </c>
      <c r="R9" s="305">
        <f t="shared" si="0"/>
        <v>0</v>
      </c>
      <c r="S9" s="305">
        <f t="shared" si="0"/>
        <v>13000</v>
      </c>
      <c r="T9" s="305">
        <f t="shared" si="0"/>
        <v>311313</v>
      </c>
      <c r="U9" s="305">
        <f t="shared" si="0"/>
        <v>2579771</v>
      </c>
      <c r="V9" s="305">
        <f t="shared" si="0"/>
        <v>190735</v>
      </c>
      <c r="W9" s="305">
        <f t="shared" si="0"/>
        <v>287632</v>
      </c>
      <c r="X9" s="305">
        <f t="shared" si="0"/>
        <v>889323</v>
      </c>
      <c r="Y9" s="305">
        <f t="shared" si="0"/>
        <v>1212081</v>
      </c>
      <c r="Z9" s="305">
        <f t="shared" si="0"/>
        <v>2013188</v>
      </c>
      <c r="AA9" s="164" t="s">
        <v>847</v>
      </c>
      <c r="AB9" s="164">
        <f>2140000-Z9</f>
        <v>126812</v>
      </c>
      <c r="AC9" s="239"/>
      <c r="AD9" s="386">
        <f>2140000-Z9</f>
        <v>126812</v>
      </c>
      <c r="AE9" s="373"/>
      <c r="AF9" s="373"/>
      <c r="AG9" s="319"/>
      <c r="AH9" s="319"/>
      <c r="AI9" s="319"/>
      <c r="AJ9" s="319"/>
      <c r="AK9" s="319" t="s">
        <v>288</v>
      </c>
      <c r="AL9" s="319">
        <f>COUNTIF(AE20:AE883,"KCM")</f>
        <v>19</v>
      </c>
      <c r="AM9" s="23">
        <f>SUMIF(AE21:AE884,"KCM",AG21:AG884)</f>
        <v>839000</v>
      </c>
      <c r="AN9" s="23">
        <f>SUMIFS($AG$9:$AG$985,$AE$9:$AE$985,"KCM",$AF$9:$AF$985,"GT")</f>
        <v>2300</v>
      </c>
      <c r="AO9" s="23">
        <f>SUMIFS($AG$9:$AG$985,$AE$9:$AE$985,"KCM",$AF$9:$AF$985,"NN-TL")</f>
        <v>25000</v>
      </c>
      <c r="AP9" s="23">
        <f>SUMIFS($AG$9:$AG$985,$AE$9:$AE$985,"KCM",$AF$9:$AF$985,"GDĐT")</f>
        <v>199500</v>
      </c>
      <c r="AQ9" s="23">
        <f>SUMIFS($AG$9:$AG$985,$AE$9:$AE$985,"KCM",$AF$9:$AF$985,"YT")</f>
        <v>450000</v>
      </c>
      <c r="AR9" s="23">
        <f>SUMIFS($AG$9:$AG$985,$AE$9:$AE$985,"KCM",$AF$9:$AF$985,"VH")</f>
        <v>124000</v>
      </c>
      <c r="AS9" s="23">
        <f>SUMIFS($AG$9:$AG$985,$AE$9:$AE$985,"KCM",$AF$9:$AF$985,"TTTT")</f>
        <v>30000</v>
      </c>
      <c r="AT9" s="23">
        <f>SUMIFS($AG$9:$AG$985,$AE$9:$AE$985,"KCM",$AF$9:$AF$985,"XH-CC")</f>
        <v>0</v>
      </c>
      <c r="AU9" s="23">
        <f>SUMIFS($AG$9:$AG$985,$AE$9:$AE$985,"KCM",$AF$9:$AF$985,"NS")</f>
        <v>8200</v>
      </c>
      <c r="AV9" s="23">
        <f>SUMIFS($AG$9:$AG$985,$AE$9:$AE$985,"KCM",$AF$9:$AF$985,"TNMT")</f>
        <v>0</v>
      </c>
      <c r="AW9" s="23">
        <f>SUMIFS($AG$9:$AG$985,$AE$9:$AE$985,"KCM",$AF$9:$AF$985,"QLNN")</f>
        <v>0</v>
      </c>
      <c r="AX9" s="23">
        <f>SUMIFS($AG$9:$AG$985,$AE$9:$AE$985,"KCM",$AF$9:$AF$985,"QPAN")</f>
        <v>0</v>
      </c>
      <c r="AY9" s="23">
        <f>SUMIFS($AG$9:$AG$985,$AE$9:$AE$985,"KCM",$AF$9:$AF$985,"PTĐT")</f>
        <v>0</v>
      </c>
      <c r="AZ9" s="23">
        <f>SUMIFS($AG$9:$AG$985,$AE$9:$AE$985,"KCM",$AF$9:$AF$985,"TMDV")</f>
        <v>0</v>
      </c>
      <c r="BA9" s="315">
        <f>SUM(AN9:AZ9)</f>
        <v>839000</v>
      </c>
    </row>
    <row r="10" spans="1:53" s="395" customFormat="1" ht="52.5" customHeight="1">
      <c r="A10" s="387" t="s">
        <v>77</v>
      </c>
      <c r="B10" s="388" t="s">
        <v>76</v>
      </c>
      <c r="C10" s="389"/>
      <c r="D10" s="390"/>
      <c r="E10" s="389"/>
      <c r="F10" s="389"/>
      <c r="G10" s="391">
        <f t="shared" ref="G10:I10" si="1">SUM(G11:G18)</f>
        <v>0</v>
      </c>
      <c r="H10" s="391">
        <f t="shared" si="1"/>
        <v>0</v>
      </c>
      <c r="I10" s="391">
        <f t="shared" si="1"/>
        <v>0</v>
      </c>
      <c r="J10" s="391">
        <f>SUM(J11:J18)</f>
        <v>321800</v>
      </c>
      <c r="K10" s="391">
        <f t="shared" ref="K10:T10" si="2">SUM(K11:K18)</f>
        <v>0</v>
      </c>
      <c r="L10" s="391">
        <f t="shared" si="2"/>
        <v>0</v>
      </c>
      <c r="M10" s="391">
        <f t="shared" si="2"/>
        <v>0</v>
      </c>
      <c r="N10" s="391">
        <f t="shared" si="2"/>
        <v>0</v>
      </c>
      <c r="O10" s="391">
        <f t="shared" si="2"/>
        <v>0</v>
      </c>
      <c r="P10" s="391">
        <f t="shared" si="2"/>
        <v>0</v>
      </c>
      <c r="Q10" s="391">
        <f t="shared" si="2"/>
        <v>321800</v>
      </c>
      <c r="R10" s="391">
        <f t="shared" si="2"/>
        <v>0</v>
      </c>
      <c r="S10" s="391">
        <f t="shared" si="2"/>
        <v>0</v>
      </c>
      <c r="T10" s="391">
        <f t="shared" si="2"/>
        <v>0</v>
      </c>
      <c r="U10" s="391">
        <f>SUM(U11:U18)</f>
        <v>256800</v>
      </c>
      <c r="V10" s="391"/>
      <c r="W10" s="391">
        <f>SUM(W11:W18)</f>
        <v>65000</v>
      </c>
      <c r="X10" s="391">
        <f>SUM(X11:X18)</f>
        <v>126800</v>
      </c>
      <c r="Y10" s="391">
        <f>SUM(Y11:Y18)</f>
        <v>65000</v>
      </c>
      <c r="Z10" s="391">
        <f>SUM(Z11:Z18)</f>
        <v>65000</v>
      </c>
      <c r="AA10" s="392"/>
      <c r="AB10" s="392"/>
      <c r="AC10" s="393"/>
      <c r="AD10" s="394">
        <f>J10-U10-Z10</f>
        <v>0</v>
      </c>
    </row>
    <row r="11" spans="1:53" s="378" customFormat="1" ht="37.5" customHeight="1">
      <c r="A11" s="396">
        <v>1</v>
      </c>
      <c r="B11" s="397" t="s">
        <v>17</v>
      </c>
      <c r="C11" s="348"/>
      <c r="D11" s="348"/>
      <c r="E11" s="348"/>
      <c r="F11" s="348"/>
      <c r="G11" s="348"/>
      <c r="H11" s="22"/>
      <c r="I11" s="22"/>
      <c r="J11" s="318">
        <f t="shared" ref="J11:J18" si="3">SUM(K11,L11:T11)</f>
        <v>28000</v>
      </c>
      <c r="K11" s="398"/>
      <c r="L11" s="398"/>
      <c r="M11" s="398"/>
      <c r="N11" s="398"/>
      <c r="O11" s="398"/>
      <c r="P11" s="398"/>
      <c r="Q11" s="318">
        <v>28000</v>
      </c>
      <c r="R11" s="348"/>
      <c r="S11" s="348"/>
      <c r="T11" s="399"/>
      <c r="U11" s="22">
        <f t="shared" ref="U11:U18" si="4">SUM(V11:Y11)</f>
        <v>22000</v>
      </c>
      <c r="V11" s="22"/>
      <c r="W11" s="400">
        <v>6000</v>
      </c>
      <c r="X11" s="400">
        <v>10000</v>
      </c>
      <c r="Y11" s="400">
        <v>6000</v>
      </c>
      <c r="Z11" s="25">
        <v>6000</v>
      </c>
      <c r="AA11" s="396"/>
      <c r="AB11" s="396"/>
      <c r="AC11" s="401"/>
      <c r="AD11" s="394">
        <f t="shared" ref="AD11:AD71" si="5">J11-U11-Z11</f>
        <v>0</v>
      </c>
    </row>
    <row r="12" spans="1:53" s="378" customFormat="1" ht="37.5" customHeight="1">
      <c r="A12" s="396">
        <v>2</v>
      </c>
      <c r="B12" s="397" t="s">
        <v>65</v>
      </c>
      <c r="C12" s="348"/>
      <c r="D12" s="348"/>
      <c r="E12" s="348"/>
      <c r="F12" s="348"/>
      <c r="G12" s="348"/>
      <c r="H12" s="22"/>
      <c r="I12" s="22"/>
      <c r="J12" s="318">
        <f t="shared" si="3"/>
        <v>37900</v>
      </c>
      <c r="K12" s="398"/>
      <c r="L12" s="398"/>
      <c r="M12" s="398"/>
      <c r="N12" s="398"/>
      <c r="O12" s="398"/>
      <c r="P12" s="398"/>
      <c r="Q12" s="318">
        <v>37900</v>
      </c>
      <c r="R12" s="348"/>
      <c r="S12" s="348"/>
      <c r="T12" s="399"/>
      <c r="U12" s="22">
        <f t="shared" si="4"/>
        <v>30900</v>
      </c>
      <c r="V12" s="22"/>
      <c r="W12" s="400">
        <v>7000</v>
      </c>
      <c r="X12" s="400">
        <v>16900</v>
      </c>
      <c r="Y12" s="400">
        <v>7000</v>
      </c>
      <c r="Z12" s="25">
        <v>7000</v>
      </c>
      <c r="AA12" s="396"/>
      <c r="AB12" s="396"/>
      <c r="AC12" s="401"/>
      <c r="AD12" s="394">
        <f t="shared" si="5"/>
        <v>0</v>
      </c>
    </row>
    <row r="13" spans="1:53" s="378" customFormat="1" ht="37.5" customHeight="1">
      <c r="A13" s="396">
        <v>3</v>
      </c>
      <c r="B13" s="397" t="s">
        <v>198</v>
      </c>
      <c r="C13" s="348"/>
      <c r="D13" s="348"/>
      <c r="E13" s="348"/>
      <c r="F13" s="348"/>
      <c r="G13" s="348"/>
      <c r="H13" s="22"/>
      <c r="I13" s="22"/>
      <c r="J13" s="318">
        <f t="shared" si="3"/>
        <v>43900</v>
      </c>
      <c r="K13" s="398"/>
      <c r="L13" s="398"/>
      <c r="M13" s="398"/>
      <c r="N13" s="398"/>
      <c r="O13" s="398"/>
      <c r="P13" s="398"/>
      <c r="Q13" s="318">
        <v>43900</v>
      </c>
      <c r="R13" s="348"/>
      <c r="S13" s="348"/>
      <c r="T13" s="399"/>
      <c r="U13" s="22">
        <f t="shared" si="4"/>
        <v>34900</v>
      </c>
      <c r="V13" s="22"/>
      <c r="W13" s="400">
        <v>9000</v>
      </c>
      <c r="X13" s="400">
        <v>16900</v>
      </c>
      <c r="Y13" s="400">
        <v>9000</v>
      </c>
      <c r="Z13" s="25">
        <v>9000</v>
      </c>
      <c r="AA13" s="396"/>
      <c r="AB13" s="396"/>
      <c r="AC13" s="401"/>
      <c r="AD13" s="394">
        <f t="shared" si="5"/>
        <v>0</v>
      </c>
    </row>
    <row r="14" spans="1:53" s="378" customFormat="1" ht="37.5" customHeight="1">
      <c r="A14" s="396">
        <v>4</v>
      </c>
      <c r="B14" s="397" t="s">
        <v>87</v>
      </c>
      <c r="C14" s="348"/>
      <c r="D14" s="348"/>
      <c r="E14" s="348"/>
      <c r="F14" s="348"/>
      <c r="G14" s="348"/>
      <c r="H14" s="22"/>
      <c r="I14" s="22"/>
      <c r="J14" s="318">
        <f t="shared" si="3"/>
        <v>39800</v>
      </c>
      <c r="K14" s="398"/>
      <c r="L14" s="398"/>
      <c r="M14" s="398"/>
      <c r="N14" s="398"/>
      <c r="O14" s="398"/>
      <c r="P14" s="398"/>
      <c r="Q14" s="318">
        <v>39800</v>
      </c>
      <c r="R14" s="348"/>
      <c r="S14" s="348"/>
      <c r="T14" s="399"/>
      <c r="U14" s="22">
        <f t="shared" si="4"/>
        <v>31800</v>
      </c>
      <c r="V14" s="22"/>
      <c r="W14" s="400">
        <v>8000</v>
      </c>
      <c r="X14" s="400">
        <v>15800</v>
      </c>
      <c r="Y14" s="400">
        <v>8000</v>
      </c>
      <c r="Z14" s="25">
        <v>8000</v>
      </c>
      <c r="AA14" s="396"/>
      <c r="AB14" s="396"/>
      <c r="AC14" s="401"/>
      <c r="AD14" s="394">
        <f t="shared" si="5"/>
        <v>0</v>
      </c>
    </row>
    <row r="15" spans="1:53" s="378" customFormat="1" ht="37.5" customHeight="1">
      <c r="A15" s="396">
        <v>5</v>
      </c>
      <c r="B15" s="397" t="s">
        <v>64</v>
      </c>
      <c r="C15" s="348"/>
      <c r="D15" s="348"/>
      <c r="E15" s="348"/>
      <c r="F15" s="348"/>
      <c r="G15" s="348"/>
      <c r="H15" s="22"/>
      <c r="I15" s="22"/>
      <c r="J15" s="318">
        <f t="shared" si="3"/>
        <v>44600</v>
      </c>
      <c r="K15" s="398"/>
      <c r="L15" s="398"/>
      <c r="M15" s="398"/>
      <c r="N15" s="398"/>
      <c r="O15" s="398"/>
      <c r="P15" s="398"/>
      <c r="Q15" s="318">
        <v>44600</v>
      </c>
      <c r="R15" s="348"/>
      <c r="S15" s="348"/>
      <c r="T15" s="399"/>
      <c r="U15" s="22">
        <f t="shared" si="4"/>
        <v>35600</v>
      </c>
      <c r="V15" s="22"/>
      <c r="W15" s="400">
        <v>9000</v>
      </c>
      <c r="X15" s="400">
        <v>17600</v>
      </c>
      <c r="Y15" s="400">
        <v>9000</v>
      </c>
      <c r="Z15" s="25">
        <v>9000</v>
      </c>
      <c r="AA15" s="396"/>
      <c r="AB15" s="396"/>
      <c r="AC15" s="401"/>
      <c r="AD15" s="394">
        <f t="shared" si="5"/>
        <v>0</v>
      </c>
    </row>
    <row r="16" spans="1:53" s="378" customFormat="1" ht="37.5" customHeight="1">
      <c r="A16" s="396">
        <v>6</v>
      </c>
      <c r="B16" s="397" t="s">
        <v>211</v>
      </c>
      <c r="C16" s="348"/>
      <c r="D16" s="348"/>
      <c r="E16" s="348"/>
      <c r="F16" s="348"/>
      <c r="G16" s="348"/>
      <c r="H16" s="22"/>
      <c r="I16" s="22"/>
      <c r="J16" s="318">
        <f t="shared" si="3"/>
        <v>42800</v>
      </c>
      <c r="K16" s="398"/>
      <c r="L16" s="398"/>
      <c r="M16" s="398"/>
      <c r="N16" s="398"/>
      <c r="O16" s="398"/>
      <c r="P16" s="398"/>
      <c r="Q16" s="318">
        <v>42800</v>
      </c>
      <c r="R16" s="348"/>
      <c r="S16" s="348"/>
      <c r="T16" s="399"/>
      <c r="U16" s="22">
        <f t="shared" si="4"/>
        <v>33800</v>
      </c>
      <c r="V16" s="22"/>
      <c r="W16" s="400">
        <v>9000</v>
      </c>
      <c r="X16" s="400">
        <v>15800</v>
      </c>
      <c r="Y16" s="400">
        <v>9000</v>
      </c>
      <c r="Z16" s="25">
        <v>9000</v>
      </c>
      <c r="AA16" s="396"/>
      <c r="AB16" s="396"/>
      <c r="AC16" s="401"/>
      <c r="AD16" s="394">
        <f t="shared" si="5"/>
        <v>0</v>
      </c>
    </row>
    <row r="17" spans="1:53" s="378" customFormat="1" ht="37.5" customHeight="1">
      <c r="A17" s="396">
        <v>7</v>
      </c>
      <c r="B17" s="397" t="s">
        <v>210</v>
      </c>
      <c r="C17" s="348"/>
      <c r="D17" s="348"/>
      <c r="E17" s="348"/>
      <c r="F17" s="348"/>
      <c r="G17" s="348"/>
      <c r="H17" s="22"/>
      <c r="I17" s="22"/>
      <c r="J17" s="318">
        <f t="shared" si="3"/>
        <v>43900</v>
      </c>
      <c r="K17" s="398"/>
      <c r="L17" s="398"/>
      <c r="M17" s="398"/>
      <c r="N17" s="398"/>
      <c r="O17" s="398"/>
      <c r="P17" s="398"/>
      <c r="Q17" s="318">
        <v>43900</v>
      </c>
      <c r="R17" s="348"/>
      <c r="S17" s="348"/>
      <c r="T17" s="399"/>
      <c r="U17" s="22">
        <f t="shared" si="4"/>
        <v>34900</v>
      </c>
      <c r="V17" s="22"/>
      <c r="W17" s="400">
        <v>9000</v>
      </c>
      <c r="X17" s="400">
        <v>16900</v>
      </c>
      <c r="Y17" s="400">
        <v>9000</v>
      </c>
      <c r="Z17" s="25">
        <v>9000</v>
      </c>
      <c r="AA17" s="396"/>
      <c r="AB17" s="396"/>
      <c r="AC17" s="401"/>
      <c r="AD17" s="394">
        <f t="shared" si="5"/>
        <v>0</v>
      </c>
    </row>
    <row r="18" spans="1:53" s="378" customFormat="1" ht="37.5" customHeight="1">
      <c r="A18" s="396">
        <v>8</v>
      </c>
      <c r="B18" s="397" t="s">
        <v>18</v>
      </c>
      <c r="C18" s="348"/>
      <c r="D18" s="348"/>
      <c r="E18" s="348"/>
      <c r="F18" s="348"/>
      <c r="G18" s="348"/>
      <c r="H18" s="22"/>
      <c r="I18" s="22"/>
      <c r="J18" s="318">
        <f t="shared" si="3"/>
        <v>40900</v>
      </c>
      <c r="K18" s="398"/>
      <c r="L18" s="398"/>
      <c r="M18" s="398"/>
      <c r="N18" s="398"/>
      <c r="O18" s="398"/>
      <c r="P18" s="398"/>
      <c r="Q18" s="318">
        <v>40900</v>
      </c>
      <c r="R18" s="348"/>
      <c r="S18" s="348"/>
      <c r="T18" s="399"/>
      <c r="U18" s="22">
        <f t="shared" si="4"/>
        <v>32900</v>
      </c>
      <c r="V18" s="22"/>
      <c r="W18" s="400">
        <v>8000</v>
      </c>
      <c r="X18" s="400">
        <v>16900</v>
      </c>
      <c r="Y18" s="400">
        <v>8000</v>
      </c>
      <c r="Z18" s="25">
        <v>8000</v>
      </c>
      <c r="AA18" s="396"/>
      <c r="AB18" s="396"/>
      <c r="AC18" s="401"/>
      <c r="AD18" s="394">
        <f t="shared" si="5"/>
        <v>0</v>
      </c>
    </row>
    <row r="19" spans="1:53" s="316" customFormat="1" ht="60" customHeight="1">
      <c r="A19" s="443" t="s">
        <v>21</v>
      </c>
      <c r="B19" s="310" t="s">
        <v>333</v>
      </c>
      <c r="C19" s="443"/>
      <c r="D19" s="443"/>
      <c r="E19" s="443"/>
      <c r="F19" s="443"/>
      <c r="G19" s="443"/>
      <c r="H19" s="311">
        <f t="shared" ref="H19:Z19" si="6">SUM(H20,H21,H22,H23,H25,H81,H83)</f>
        <v>14430464</v>
      </c>
      <c r="I19" s="311">
        <f t="shared" si="6"/>
        <v>7477888</v>
      </c>
      <c r="J19" s="311">
        <f t="shared" si="6"/>
        <v>4273959</v>
      </c>
      <c r="K19" s="311">
        <f t="shared" si="6"/>
        <v>2992656</v>
      </c>
      <c r="L19" s="311">
        <f t="shared" si="6"/>
        <v>-96165</v>
      </c>
      <c r="M19" s="311">
        <f t="shared" si="6"/>
        <v>-23000</v>
      </c>
      <c r="N19" s="311">
        <f t="shared" si="6"/>
        <v>16647</v>
      </c>
      <c r="O19" s="311">
        <f t="shared" si="6"/>
        <v>-26000</v>
      </c>
      <c r="P19" s="311">
        <f t="shared" si="6"/>
        <v>19500</v>
      </c>
      <c r="Q19" s="311">
        <f t="shared" si="6"/>
        <v>0</v>
      </c>
      <c r="R19" s="311">
        <f t="shared" si="6"/>
        <v>0</v>
      </c>
      <c r="S19" s="311">
        <f t="shared" si="6"/>
        <v>13000</v>
      </c>
      <c r="T19" s="311">
        <f t="shared" si="6"/>
        <v>501313</v>
      </c>
      <c r="U19" s="311">
        <f t="shared" si="6"/>
        <v>2322971</v>
      </c>
      <c r="V19" s="311">
        <f t="shared" si="6"/>
        <v>190735</v>
      </c>
      <c r="W19" s="311">
        <f t="shared" si="6"/>
        <v>222632</v>
      </c>
      <c r="X19" s="311">
        <f t="shared" si="6"/>
        <v>762523</v>
      </c>
      <c r="Y19" s="311">
        <f t="shared" si="6"/>
        <v>1147081</v>
      </c>
      <c r="Z19" s="311">
        <f t="shared" si="6"/>
        <v>1928488</v>
      </c>
      <c r="AA19" s="20"/>
      <c r="AB19" s="264" t="s">
        <v>928</v>
      </c>
      <c r="AC19" s="240"/>
      <c r="AD19" s="394">
        <f>J19-U19-Z19-500</f>
        <v>22000</v>
      </c>
      <c r="AE19" s="299"/>
      <c r="AF19" s="299"/>
      <c r="AG19" s="300"/>
      <c r="AH19" s="300"/>
      <c r="AI19" s="300"/>
      <c r="AJ19" s="300"/>
      <c r="AK19" s="300"/>
      <c r="AL19" s="300"/>
      <c r="AM19" s="10"/>
      <c r="AN19" s="10"/>
      <c r="AO19" s="10"/>
      <c r="AP19" s="10"/>
      <c r="AQ19" s="10"/>
      <c r="AR19" s="10"/>
      <c r="AS19" s="10"/>
      <c r="AT19" s="10"/>
      <c r="AU19" s="10"/>
      <c r="AV19" s="10"/>
      <c r="AW19" s="10"/>
      <c r="AX19" s="10"/>
      <c r="AY19" s="10"/>
      <c r="AZ19" s="10"/>
      <c r="BA19" s="288"/>
    </row>
    <row r="20" spans="1:53" s="316" customFormat="1" ht="60" customHeight="1">
      <c r="A20" s="443" t="s">
        <v>14</v>
      </c>
      <c r="B20" s="310" t="s">
        <v>195</v>
      </c>
      <c r="C20" s="443"/>
      <c r="D20" s="443"/>
      <c r="E20" s="443"/>
      <c r="F20" s="402"/>
      <c r="G20" s="402"/>
      <c r="H20" s="24"/>
      <c r="I20" s="24"/>
      <c r="J20" s="311">
        <f>SUM(K20,L20:T20)-9350</f>
        <v>20650</v>
      </c>
      <c r="K20" s="24">
        <v>30000</v>
      </c>
      <c r="L20" s="24"/>
      <c r="M20" s="24"/>
      <c r="N20" s="24"/>
      <c r="O20" s="24"/>
      <c r="P20" s="24"/>
      <c r="Q20" s="24"/>
      <c r="R20" s="24"/>
      <c r="S20" s="24"/>
      <c r="T20" s="24"/>
      <c r="U20" s="24">
        <f>SUM(V20:Y20)</f>
        <v>10650</v>
      </c>
      <c r="V20" s="311">
        <v>1807</v>
      </c>
      <c r="W20" s="52">
        <v>6326</v>
      </c>
      <c r="X20" s="324">
        <v>934</v>
      </c>
      <c r="Y20" s="403">
        <v>1583</v>
      </c>
      <c r="Z20" s="324">
        <f>10000</f>
        <v>10000</v>
      </c>
      <c r="AA20" s="34"/>
      <c r="AB20" s="265" t="s">
        <v>693</v>
      </c>
      <c r="AC20" s="265" t="s">
        <v>693</v>
      </c>
      <c r="AD20" s="394">
        <f t="shared" si="5"/>
        <v>0</v>
      </c>
      <c r="AE20" s="307"/>
      <c r="AF20" s="307"/>
      <c r="AG20" s="308"/>
      <c r="AH20" s="308"/>
      <c r="AI20" s="308"/>
      <c r="AJ20" s="308"/>
      <c r="AK20" s="308"/>
      <c r="AL20" s="308"/>
      <c r="AM20" s="308"/>
      <c r="AN20" s="308"/>
      <c r="AO20" s="308"/>
      <c r="AP20" s="308"/>
      <c r="AQ20" s="308"/>
      <c r="AR20" s="308"/>
      <c r="AS20" s="308"/>
      <c r="AT20" s="308"/>
      <c r="AU20" s="308"/>
      <c r="AV20" s="308"/>
      <c r="AW20" s="308"/>
      <c r="AX20" s="308"/>
      <c r="AY20" s="308"/>
      <c r="AZ20" s="308"/>
      <c r="BA20" s="308"/>
    </row>
    <row r="21" spans="1:53" s="316" customFormat="1" ht="81" customHeight="1">
      <c r="A21" s="443" t="s">
        <v>34</v>
      </c>
      <c r="B21" s="310" t="s">
        <v>79</v>
      </c>
      <c r="C21" s="443"/>
      <c r="D21" s="443"/>
      <c r="E21" s="443"/>
      <c r="F21" s="443"/>
      <c r="G21" s="443"/>
      <c r="H21" s="311"/>
      <c r="I21" s="311"/>
      <c r="J21" s="311">
        <f>SUM(K21,L21:T21)+33500</f>
        <v>123500</v>
      </c>
      <c r="K21" s="311">
        <v>90000</v>
      </c>
      <c r="L21" s="311"/>
      <c r="M21" s="311"/>
      <c r="N21" s="311"/>
      <c r="O21" s="311"/>
      <c r="P21" s="311"/>
      <c r="Q21" s="311"/>
      <c r="R21" s="311"/>
      <c r="S21" s="311"/>
      <c r="T21" s="311"/>
      <c r="U21" s="311">
        <f>SUM(V21:Y21)</f>
        <v>90000</v>
      </c>
      <c r="V21" s="311">
        <v>48410</v>
      </c>
      <c r="W21" s="52">
        <v>18974</v>
      </c>
      <c r="X21" s="324">
        <v>7475</v>
      </c>
      <c r="Y21" s="403">
        <v>15141</v>
      </c>
      <c r="Z21" s="324">
        <v>33500</v>
      </c>
      <c r="AA21" s="341"/>
      <c r="AB21" s="342" t="s">
        <v>932</v>
      </c>
      <c r="AC21" s="343" t="s">
        <v>933</v>
      </c>
      <c r="AD21" s="394">
        <f t="shared" si="5"/>
        <v>0</v>
      </c>
      <c r="AE21" s="313"/>
      <c r="AF21" s="313"/>
      <c r="AG21" s="314"/>
      <c r="AH21" s="314"/>
      <c r="AI21" s="314"/>
      <c r="AJ21" s="314"/>
      <c r="AK21" s="315" t="s">
        <v>287</v>
      </c>
      <c r="AL21" s="314">
        <f>SUM(AN21:AZ21)</f>
        <v>4</v>
      </c>
      <c r="AM21" s="314"/>
      <c r="AN21" s="314">
        <f>COUNTIFS($AE$9:$AE$883,"CT",$AF$9:$AF$883,"GT")</f>
        <v>1</v>
      </c>
      <c r="AO21" s="314">
        <f>COUNTIFS($AE$9:$AE$883,"CT",$AF$9:$AF$883,"NN-TL")</f>
        <v>3</v>
      </c>
      <c r="AP21" s="314">
        <f>COUNTIFS($AE$9:$AE$883,"CT",$AF$9:$AF$883,"GDĐT")</f>
        <v>0</v>
      </c>
      <c r="AQ21" s="314">
        <f>COUNTIFS($AE$9:$AE$883,"CT",$AF$9:$AF$883,"YT")</f>
        <v>0</v>
      </c>
      <c r="AR21" s="314">
        <f>COUNTIFS($AE$9:$AE$883,"CT",$AF$9:$AF$883,"VH")</f>
        <v>0</v>
      </c>
      <c r="AS21" s="314">
        <f>COUNTIFS($AE$9:$AE$883,"CT",$AF$9:$AF$883,"TTTT")</f>
        <v>0</v>
      </c>
      <c r="AT21" s="314">
        <f>COUNTIFS($AE$9:$AE$883,"CT",$AF$9:$AF$883,"XH-CC")</f>
        <v>0</v>
      </c>
      <c r="AU21" s="314">
        <f>COUNTIFS($AE$9:$AE$883,"CT",$AF$9:$AF$883,"NS")</f>
        <v>0</v>
      </c>
      <c r="AV21" s="314">
        <f>COUNTIFS($AE$9:$AE$883,"CT",$AF$9:$AF$883,"TNMT")</f>
        <v>0</v>
      </c>
      <c r="AW21" s="314">
        <f>COUNTIFS($AE$9:$AE$53,"CT",$AF$9:$AF$53,"QLNN")</f>
        <v>0</v>
      </c>
      <c r="AX21" s="314">
        <f>COUNTIFS($AE$9:$AE$883,"CT",$AF$9:$AF$883,"QPAN")</f>
        <v>0</v>
      </c>
      <c r="AY21" s="314">
        <f>COUNTIFS($AE$9:$AE$883,"CT",$AF$9:$AF$883,"PTĐT")</f>
        <v>0</v>
      </c>
      <c r="AZ21" s="314">
        <f>COUNTIFS($AE$9:$AE$883,"CT",$AF$9:$AF$883,"TMDV")</f>
        <v>0</v>
      </c>
      <c r="BA21" s="314"/>
    </row>
    <row r="22" spans="1:53" s="316" customFormat="1" ht="60" customHeight="1">
      <c r="A22" s="443" t="s">
        <v>81</v>
      </c>
      <c r="B22" s="310" t="s">
        <v>294</v>
      </c>
      <c r="C22" s="443"/>
      <c r="D22" s="443"/>
      <c r="E22" s="443"/>
      <c r="F22" s="402"/>
      <c r="G22" s="402"/>
      <c r="H22" s="24"/>
      <c r="I22" s="24"/>
      <c r="J22" s="24">
        <f>'4. ĐƯCTMTQG'!J10</f>
        <v>248915</v>
      </c>
      <c r="K22" s="24">
        <f>'4. ĐƯCTMTQG'!K10</f>
        <v>184800</v>
      </c>
      <c r="L22" s="24">
        <f>'4. ĐƯCTMTQG'!L10</f>
        <v>0</v>
      </c>
      <c r="M22" s="24">
        <f>'4. ĐƯCTMTQG'!M10</f>
        <v>0</v>
      </c>
      <c r="N22" s="24">
        <f>'4. ĐƯCTMTQG'!N10</f>
        <v>0</v>
      </c>
      <c r="O22" s="24">
        <f>'4. ĐƯCTMTQG'!O10</f>
        <v>0</v>
      </c>
      <c r="P22" s="24">
        <f>'4. ĐƯCTMTQG'!P10</f>
        <v>19500</v>
      </c>
      <c r="Q22" s="24">
        <f>'4. ĐƯCTMTQG'!Q10</f>
        <v>0</v>
      </c>
      <c r="R22" s="24">
        <f>'4. ĐƯCTMTQG'!R10</f>
        <v>0</v>
      </c>
      <c r="S22" s="24">
        <f>'4. ĐƯCTMTQG'!S10</f>
        <v>0</v>
      </c>
      <c r="T22" s="24">
        <f>'4. ĐƯCTMTQG'!T10</f>
        <v>53000</v>
      </c>
      <c r="U22" s="24">
        <f>'4. ĐƯCTMTQG'!U10</f>
        <v>109110</v>
      </c>
      <c r="V22" s="24">
        <f>'4. ĐƯCTMTQG'!V10</f>
        <v>0</v>
      </c>
      <c r="W22" s="24">
        <f>'4. ĐƯCTMTQG'!W10</f>
        <v>0</v>
      </c>
      <c r="X22" s="24">
        <f>'4. ĐƯCTMTQG'!X10</f>
        <v>29910</v>
      </c>
      <c r="Y22" s="24">
        <f>'4. ĐƯCTMTQG'!Y10</f>
        <v>79200</v>
      </c>
      <c r="Z22" s="24">
        <f>'4. ĐƯCTMTQG'!Z10</f>
        <v>139805</v>
      </c>
      <c r="AA22" s="34" t="s">
        <v>293</v>
      </c>
      <c r="AB22" s="34"/>
      <c r="AC22" s="245"/>
      <c r="AD22" s="394">
        <f t="shared" si="5"/>
        <v>0</v>
      </c>
      <c r="AE22" s="313"/>
      <c r="AF22" s="313"/>
      <c r="AG22" s="314"/>
      <c r="AH22" s="314"/>
      <c r="AI22" s="314"/>
      <c r="AJ22" s="314"/>
      <c r="AK22" s="319" t="s">
        <v>288</v>
      </c>
      <c r="AL22" s="314">
        <f>SUM(AN22:AZ22)</f>
        <v>19</v>
      </c>
      <c r="AM22" s="314"/>
      <c r="AN22" s="314">
        <f>COUNTIFS($AE$9:$AE$883,"KCM",$AF$9:$AF$883,"GT")</f>
        <v>1</v>
      </c>
      <c r="AO22" s="314">
        <f>COUNTIFS($AE$9:$AE$883,"KCM",$AF$9:$AF$883,"NN-TL")</f>
        <v>5</v>
      </c>
      <c r="AP22" s="314">
        <f>COUNTIFS($AE$9:$AE$883,"KCM",$AF$9:$AF$883,"GDĐT")</f>
        <v>4</v>
      </c>
      <c r="AQ22" s="314">
        <f>COUNTIFS($AE$9:$AE$883,"KCM",$AF$9:$AF$883,"YT")</f>
        <v>2</v>
      </c>
      <c r="AR22" s="314">
        <f>COUNTIFS($AE$9:$AE$883,"KCM",$AF$9:$AF$883,"VH")</f>
        <v>3</v>
      </c>
      <c r="AS22" s="314">
        <f>COUNTIFS($AE$9:$AE$883,"KCM",$AF$9:$AF$883,"TTTT")</f>
        <v>1</v>
      </c>
      <c r="AT22" s="314">
        <f>COUNTIFS($AE$9:$AE$883,"KCM",$AF$9:$AF$883,"XH-CC")</f>
        <v>0</v>
      </c>
      <c r="AU22" s="314">
        <f>COUNTIFS($AE$9:$AE$883,"KCM",$AF$9:$AF$883,"NS")</f>
        <v>3</v>
      </c>
      <c r="AV22" s="314">
        <f>COUNTIFS($AE$9:$AE$883,"KCM",$AF$9:$AF$883,"TNMT")</f>
        <v>0</v>
      </c>
      <c r="AW22" s="314">
        <f>COUNTIFS($AE$9:$AE$883,"KCM",$AF$9:$AF$883,"QLNN")</f>
        <v>0</v>
      </c>
      <c r="AX22" s="314">
        <f>COUNTIFS($AE$9:$AE$883,"KCM",$AF$9:$AF$883,"QPAN")</f>
        <v>0</v>
      </c>
      <c r="AY22" s="314">
        <f>COUNTIFS($AE$9:$AE$883,"KCM",$AF$9:$AF$883,"PTĐT")</f>
        <v>0</v>
      </c>
      <c r="AZ22" s="314">
        <f>COUNTIFS($AE$9:$AE$883,"KCM",$AF$9:$AF$883,"TMDV")</f>
        <v>0</v>
      </c>
      <c r="BA22" s="314"/>
    </row>
    <row r="23" spans="1:53" s="316" customFormat="1" ht="70.5" customHeight="1">
      <c r="A23" s="443" t="s">
        <v>194</v>
      </c>
      <c r="B23" s="310" t="s">
        <v>80</v>
      </c>
      <c r="C23" s="443"/>
      <c r="D23" s="443"/>
      <c r="E23" s="443"/>
      <c r="F23" s="443"/>
      <c r="G23" s="443"/>
      <c r="H23" s="311">
        <f t="shared" ref="H23:Z23" si="7">SUM(H24:H24)</f>
        <v>2595700</v>
      </c>
      <c r="I23" s="311">
        <f t="shared" si="7"/>
        <v>1305700</v>
      </c>
      <c r="J23" s="311">
        <f t="shared" si="7"/>
        <v>500000</v>
      </c>
      <c r="K23" s="311">
        <f t="shared" si="7"/>
        <v>500000</v>
      </c>
      <c r="L23" s="311">
        <f t="shared" si="7"/>
        <v>0</v>
      </c>
      <c r="M23" s="311">
        <f t="shared" si="7"/>
        <v>0</v>
      </c>
      <c r="N23" s="311">
        <f t="shared" si="7"/>
        <v>0</v>
      </c>
      <c r="O23" s="311">
        <f t="shared" si="7"/>
        <v>0</v>
      </c>
      <c r="P23" s="311">
        <f t="shared" si="7"/>
        <v>0</v>
      </c>
      <c r="Q23" s="311">
        <f t="shared" si="7"/>
        <v>0</v>
      </c>
      <c r="R23" s="311">
        <f t="shared" si="7"/>
        <v>0</v>
      </c>
      <c r="S23" s="311">
        <f t="shared" si="7"/>
        <v>0</v>
      </c>
      <c r="T23" s="311">
        <f t="shared" si="7"/>
        <v>0</v>
      </c>
      <c r="U23" s="311">
        <f t="shared" si="7"/>
        <v>440000</v>
      </c>
      <c r="V23" s="311">
        <f t="shared" si="7"/>
        <v>0</v>
      </c>
      <c r="W23" s="311">
        <f t="shared" si="7"/>
        <v>0</v>
      </c>
      <c r="X23" s="311">
        <f t="shared" si="7"/>
        <v>320000</v>
      </c>
      <c r="Y23" s="311">
        <f t="shared" si="7"/>
        <v>120000</v>
      </c>
      <c r="Z23" s="311">
        <f t="shared" si="7"/>
        <v>60000</v>
      </c>
      <c r="AA23" s="20"/>
      <c r="AB23" s="20"/>
      <c r="AC23" s="240"/>
      <c r="AD23" s="394">
        <f t="shared" si="5"/>
        <v>0</v>
      </c>
      <c r="AE23" s="298"/>
      <c r="AF23" s="298"/>
    </row>
    <row r="24" spans="1:53" ht="68.25" customHeight="1">
      <c r="A24" s="334">
        <v>1</v>
      </c>
      <c r="B24" s="335" t="s">
        <v>192</v>
      </c>
      <c r="C24" s="445" t="s">
        <v>17</v>
      </c>
      <c r="D24" s="445" t="s">
        <v>21</v>
      </c>
      <c r="E24" s="446"/>
      <c r="F24" s="446" t="s">
        <v>39</v>
      </c>
      <c r="G24" s="446" t="s">
        <v>193</v>
      </c>
      <c r="H24" s="447">
        <v>2595700</v>
      </c>
      <c r="I24" s="447">
        <v>1305700</v>
      </c>
      <c r="J24" s="318">
        <f>SUM(K24,L24:T24)</f>
        <v>500000</v>
      </c>
      <c r="K24" s="25">
        <v>500000</v>
      </c>
      <c r="L24" s="283"/>
      <c r="M24" s="283"/>
      <c r="N24" s="283"/>
      <c r="O24" s="283"/>
      <c r="P24" s="283"/>
      <c r="Q24" s="283"/>
      <c r="R24" s="283"/>
      <c r="S24" s="283"/>
      <c r="T24" s="283"/>
      <c r="U24" s="318">
        <f>SUM(V24:Y24)</f>
        <v>440000</v>
      </c>
      <c r="V24" s="25"/>
      <c r="W24" s="283"/>
      <c r="X24" s="400">
        <v>320000</v>
      </c>
      <c r="Y24" s="340">
        <v>120000</v>
      </c>
      <c r="Z24" s="400">
        <v>60000</v>
      </c>
      <c r="AA24" s="341" t="s">
        <v>856</v>
      </c>
      <c r="AB24" s="341" t="s">
        <v>894</v>
      </c>
      <c r="AC24" s="350"/>
      <c r="AD24" s="394">
        <f t="shared" si="5"/>
        <v>0</v>
      </c>
    </row>
    <row r="25" spans="1:53" s="316" customFormat="1" ht="70.5" customHeight="1">
      <c r="A25" s="443" t="s">
        <v>196</v>
      </c>
      <c r="B25" s="310" t="s">
        <v>85</v>
      </c>
      <c r="C25" s="443"/>
      <c r="D25" s="443"/>
      <c r="E25" s="443"/>
      <c r="F25" s="443"/>
      <c r="G25" s="443"/>
      <c r="H25" s="311">
        <f t="shared" ref="H25:Z25" si="8">SUM(H26,H68,H76)</f>
        <v>11834764</v>
      </c>
      <c r="I25" s="311">
        <f t="shared" si="8"/>
        <v>6172188</v>
      </c>
      <c r="J25" s="311">
        <f t="shared" si="8"/>
        <v>3283607</v>
      </c>
      <c r="K25" s="311">
        <f t="shared" si="8"/>
        <v>2117856</v>
      </c>
      <c r="L25" s="311">
        <f t="shared" si="8"/>
        <v>-96165</v>
      </c>
      <c r="M25" s="311">
        <f t="shared" si="8"/>
        <v>-23000</v>
      </c>
      <c r="N25" s="311">
        <f t="shared" si="8"/>
        <v>16647</v>
      </c>
      <c r="O25" s="311">
        <f t="shared" si="8"/>
        <v>-26000</v>
      </c>
      <c r="P25" s="311">
        <f t="shared" si="8"/>
        <v>0</v>
      </c>
      <c r="Q25" s="311">
        <f t="shared" si="8"/>
        <v>0</v>
      </c>
      <c r="R25" s="311">
        <f t="shared" si="8"/>
        <v>0</v>
      </c>
      <c r="S25" s="311">
        <f t="shared" si="8"/>
        <v>13000</v>
      </c>
      <c r="T25" s="311">
        <f t="shared" si="8"/>
        <v>448313</v>
      </c>
      <c r="U25" s="311">
        <f t="shared" si="8"/>
        <v>1607711</v>
      </c>
      <c r="V25" s="311">
        <f t="shared" si="8"/>
        <v>125018</v>
      </c>
      <c r="W25" s="311">
        <f t="shared" si="8"/>
        <v>187332</v>
      </c>
      <c r="X25" s="311">
        <f t="shared" si="8"/>
        <v>384204</v>
      </c>
      <c r="Y25" s="311">
        <f t="shared" si="8"/>
        <v>911157</v>
      </c>
      <c r="Z25" s="311">
        <f t="shared" si="8"/>
        <v>1653396</v>
      </c>
      <c r="AA25" s="20"/>
      <c r="AB25" s="20"/>
      <c r="AC25" s="240"/>
      <c r="AD25" s="394"/>
      <c r="AE25" s="298"/>
      <c r="AF25" s="298"/>
    </row>
    <row r="26" spans="1:53" s="316" customFormat="1" ht="60" customHeight="1">
      <c r="A26" s="443" t="s">
        <v>249</v>
      </c>
      <c r="B26" s="310" t="s">
        <v>62</v>
      </c>
      <c r="C26" s="443"/>
      <c r="D26" s="443"/>
      <c r="E26" s="443"/>
      <c r="F26" s="443"/>
      <c r="G26" s="443"/>
      <c r="H26" s="311">
        <f t="shared" ref="H26:Z26" si="9">SUM(H27,H34,H48,H53,H56,H62,H64)</f>
        <v>11683369</v>
      </c>
      <c r="I26" s="311">
        <f t="shared" si="9"/>
        <v>6051288</v>
      </c>
      <c r="J26" s="311">
        <f t="shared" si="9"/>
        <v>3118667</v>
      </c>
      <c r="K26" s="311">
        <f t="shared" si="9"/>
        <v>2107356</v>
      </c>
      <c r="L26" s="311">
        <f t="shared" si="9"/>
        <v>-96165</v>
      </c>
      <c r="M26" s="311">
        <f t="shared" si="9"/>
        <v>-23000</v>
      </c>
      <c r="N26" s="311">
        <f t="shared" si="9"/>
        <v>16647</v>
      </c>
      <c r="O26" s="311">
        <f t="shared" si="9"/>
        <v>-26000</v>
      </c>
      <c r="P26" s="311">
        <f t="shared" si="9"/>
        <v>0</v>
      </c>
      <c r="Q26" s="311">
        <f t="shared" si="9"/>
        <v>0</v>
      </c>
      <c r="R26" s="311">
        <f t="shared" si="9"/>
        <v>0</v>
      </c>
      <c r="S26" s="311">
        <f t="shared" si="9"/>
        <v>13000</v>
      </c>
      <c r="T26" s="311">
        <f t="shared" si="9"/>
        <v>374400</v>
      </c>
      <c r="U26" s="311">
        <f t="shared" si="9"/>
        <v>1607711</v>
      </c>
      <c r="V26" s="311">
        <f t="shared" si="9"/>
        <v>125018</v>
      </c>
      <c r="W26" s="311">
        <f t="shared" si="9"/>
        <v>187332</v>
      </c>
      <c r="X26" s="311">
        <f t="shared" si="9"/>
        <v>384204</v>
      </c>
      <c r="Y26" s="311">
        <f t="shared" si="9"/>
        <v>911157</v>
      </c>
      <c r="Z26" s="311">
        <f t="shared" si="9"/>
        <v>1488956</v>
      </c>
      <c r="AA26" s="20"/>
      <c r="AB26" s="20"/>
      <c r="AC26" s="240"/>
      <c r="AD26" s="394">
        <f t="shared" si="5"/>
        <v>22000</v>
      </c>
      <c r="AE26" s="298"/>
      <c r="AF26" s="298"/>
    </row>
    <row r="27" spans="1:53" s="333" customFormat="1" ht="44.25" customHeight="1">
      <c r="A27" s="327" t="s">
        <v>16</v>
      </c>
      <c r="B27" s="328" t="s">
        <v>56</v>
      </c>
      <c r="C27" s="328"/>
      <c r="D27" s="327"/>
      <c r="E27" s="328"/>
      <c r="F27" s="328"/>
      <c r="G27" s="328"/>
      <c r="H27" s="329">
        <f t="shared" ref="H27:Z27" si="10">SUM(H28:H33)</f>
        <v>4363157</v>
      </c>
      <c r="I27" s="329">
        <f t="shared" si="10"/>
        <v>2294125</v>
      </c>
      <c r="J27" s="329">
        <f t="shared" si="10"/>
        <v>978320</v>
      </c>
      <c r="K27" s="329">
        <f t="shared" si="10"/>
        <v>340356</v>
      </c>
      <c r="L27" s="329">
        <f t="shared" si="10"/>
        <v>-26365</v>
      </c>
      <c r="M27" s="329">
        <f t="shared" si="10"/>
        <v>-7000</v>
      </c>
      <c r="N27" s="329">
        <f t="shared" si="10"/>
        <v>0</v>
      </c>
      <c r="O27" s="329">
        <f t="shared" si="10"/>
        <v>0</v>
      </c>
      <c r="P27" s="329">
        <f t="shared" si="10"/>
        <v>0</v>
      </c>
      <c r="Q27" s="329">
        <f t="shared" si="10"/>
        <v>0</v>
      </c>
      <c r="R27" s="329">
        <f t="shared" si="10"/>
        <v>0</v>
      </c>
      <c r="S27" s="329">
        <f t="shared" si="10"/>
        <v>0</v>
      </c>
      <c r="T27" s="329">
        <f t="shared" si="10"/>
        <v>250400</v>
      </c>
      <c r="U27" s="329">
        <f t="shared" si="10"/>
        <v>503161</v>
      </c>
      <c r="V27" s="329">
        <f t="shared" si="10"/>
        <v>4405</v>
      </c>
      <c r="W27" s="329">
        <f t="shared" si="10"/>
        <v>0</v>
      </c>
      <c r="X27" s="329">
        <f t="shared" si="10"/>
        <v>186356</v>
      </c>
      <c r="Y27" s="329">
        <f t="shared" si="10"/>
        <v>312400</v>
      </c>
      <c r="Z27" s="329">
        <f t="shared" si="10"/>
        <v>453159</v>
      </c>
      <c r="AA27" s="330"/>
      <c r="AB27" s="330"/>
      <c r="AC27" s="331"/>
      <c r="AD27" s="394">
        <f t="shared" si="5"/>
        <v>22000</v>
      </c>
      <c r="AE27" s="332"/>
      <c r="AF27" s="332"/>
    </row>
    <row r="28" spans="1:53" ht="150" customHeight="1">
      <c r="A28" s="334">
        <v>1</v>
      </c>
      <c r="B28" s="335" t="s">
        <v>379</v>
      </c>
      <c r="C28" s="338" t="s">
        <v>199</v>
      </c>
      <c r="D28" s="337" t="s">
        <v>21</v>
      </c>
      <c r="E28" s="338" t="s">
        <v>200</v>
      </c>
      <c r="F28" s="338" t="s">
        <v>217</v>
      </c>
      <c r="G28" s="339" t="s">
        <v>963</v>
      </c>
      <c r="H28" s="283">
        <v>1491000</v>
      </c>
      <c r="I28" s="283">
        <v>769576</v>
      </c>
      <c r="J28" s="318">
        <f>SUM(K28,L28:T28)+8000</f>
        <v>261635</v>
      </c>
      <c r="K28" s="283">
        <v>170000</v>
      </c>
      <c r="L28" s="283">
        <v>-26365</v>
      </c>
      <c r="M28" s="283"/>
      <c r="N28" s="283"/>
      <c r="O28" s="283"/>
      <c r="P28" s="283"/>
      <c r="Q28" s="283"/>
      <c r="R28" s="283"/>
      <c r="S28" s="283"/>
      <c r="T28" s="283">
        <v>110000</v>
      </c>
      <c r="U28" s="318">
        <f t="shared" ref="U28:U33" si="11">SUM(V28:Y28)</f>
        <v>199405</v>
      </c>
      <c r="V28" s="283">
        <v>4405</v>
      </c>
      <c r="W28" s="283"/>
      <c r="X28" s="53">
        <v>85000</v>
      </c>
      <c r="Y28" s="340">
        <v>110000</v>
      </c>
      <c r="Z28" s="400">
        <v>62230</v>
      </c>
      <c r="AA28" s="341"/>
      <c r="AB28" s="342" t="s">
        <v>895</v>
      </c>
      <c r="AC28" s="343" t="s">
        <v>458</v>
      </c>
      <c r="AD28" s="394">
        <f t="shared" si="5"/>
        <v>0</v>
      </c>
      <c r="AE28" s="293" t="s">
        <v>289</v>
      </c>
      <c r="AF28" s="293" t="s">
        <v>291</v>
      </c>
      <c r="AG28" s="302">
        <f>J28</f>
        <v>261635</v>
      </c>
      <c r="AH28" s="319" t="s">
        <v>376</v>
      </c>
      <c r="AI28" s="302"/>
      <c r="AJ28" s="302"/>
    </row>
    <row r="29" spans="1:53" ht="216" customHeight="1">
      <c r="A29" s="334">
        <f t="shared" ref="A29:A30" si="12">+A28+1</f>
        <v>2</v>
      </c>
      <c r="B29" s="335" t="s">
        <v>462</v>
      </c>
      <c r="C29" s="334" t="s">
        <v>463</v>
      </c>
      <c r="D29" s="337" t="s">
        <v>21</v>
      </c>
      <c r="E29" s="334" t="s">
        <v>464</v>
      </c>
      <c r="F29" s="334" t="s">
        <v>39</v>
      </c>
      <c r="G29" s="334" t="s">
        <v>964</v>
      </c>
      <c r="H29" s="283">
        <v>148645</v>
      </c>
      <c r="I29" s="283">
        <v>22537</v>
      </c>
      <c r="J29" s="318">
        <f>SUM(K29,L29:T29)+38000</f>
        <v>43000</v>
      </c>
      <c r="K29" s="25">
        <v>30000</v>
      </c>
      <c r="L29" s="283"/>
      <c r="M29" s="283">
        <v>-25000</v>
      </c>
      <c r="N29" s="283"/>
      <c r="O29" s="283"/>
      <c r="P29" s="283"/>
      <c r="Q29" s="283"/>
      <c r="R29" s="283"/>
      <c r="S29" s="283"/>
      <c r="T29" s="283"/>
      <c r="U29" s="318">
        <f t="shared" si="11"/>
        <v>5000</v>
      </c>
      <c r="V29" s="25"/>
      <c r="W29" s="283"/>
      <c r="X29" s="53">
        <v>1000</v>
      </c>
      <c r="Y29" s="340">
        <v>4000</v>
      </c>
      <c r="Z29" s="400">
        <v>38000</v>
      </c>
      <c r="AA29" s="341"/>
      <c r="AB29" s="342" t="s">
        <v>896</v>
      </c>
      <c r="AC29" s="343" t="s">
        <v>467</v>
      </c>
      <c r="AD29" s="394">
        <f t="shared" si="5"/>
        <v>0</v>
      </c>
      <c r="AE29" s="293" t="s">
        <v>291</v>
      </c>
      <c r="AF29" s="302">
        <f>J29</f>
        <v>43000</v>
      </c>
      <c r="AG29" s="302" t="s">
        <v>378</v>
      </c>
      <c r="AH29" s="302"/>
      <c r="AI29" s="302"/>
    </row>
    <row r="30" spans="1:53" ht="213.75" customHeight="1">
      <c r="A30" s="334">
        <f t="shared" si="12"/>
        <v>3</v>
      </c>
      <c r="B30" s="335" t="s">
        <v>465</v>
      </c>
      <c r="C30" s="334" t="s">
        <v>221</v>
      </c>
      <c r="D30" s="337" t="s">
        <v>21</v>
      </c>
      <c r="E30" s="334" t="s">
        <v>466</v>
      </c>
      <c r="F30" s="334" t="s">
        <v>39</v>
      </c>
      <c r="G30" s="334" t="s">
        <v>603</v>
      </c>
      <c r="H30" s="283">
        <v>132454</v>
      </c>
      <c r="I30" s="283">
        <v>25954</v>
      </c>
      <c r="J30" s="318">
        <f>SUM(K30,L30:T30)+6000</f>
        <v>11000</v>
      </c>
      <c r="K30" s="25">
        <v>40000</v>
      </c>
      <c r="L30" s="283"/>
      <c r="M30" s="283">
        <v>-35000</v>
      </c>
      <c r="N30" s="283"/>
      <c r="O30" s="283"/>
      <c r="P30" s="283"/>
      <c r="Q30" s="283"/>
      <c r="R30" s="283"/>
      <c r="S30" s="283"/>
      <c r="T30" s="283"/>
      <c r="U30" s="318">
        <f t="shared" si="11"/>
        <v>5000</v>
      </c>
      <c r="V30" s="25"/>
      <c r="W30" s="283"/>
      <c r="X30" s="53"/>
      <c r="Y30" s="340">
        <v>5000</v>
      </c>
      <c r="Z30" s="400">
        <v>6000</v>
      </c>
      <c r="AA30" s="341"/>
      <c r="AB30" s="342" t="s">
        <v>897</v>
      </c>
      <c r="AC30" s="343" t="s">
        <v>821</v>
      </c>
      <c r="AD30" s="394">
        <f t="shared" si="5"/>
        <v>0</v>
      </c>
      <c r="AE30" s="293" t="s">
        <v>291</v>
      </c>
      <c r="AF30" s="302">
        <f>J30</f>
        <v>11000</v>
      </c>
      <c r="AG30" s="302" t="s">
        <v>378</v>
      </c>
      <c r="AH30" s="302"/>
      <c r="AI30" s="302"/>
    </row>
    <row r="31" spans="1:53" ht="69.75" customHeight="1">
      <c r="A31" s="334">
        <v>4</v>
      </c>
      <c r="B31" s="335" t="s">
        <v>453</v>
      </c>
      <c r="C31" s="338" t="s">
        <v>454</v>
      </c>
      <c r="D31" s="337" t="s">
        <v>21</v>
      </c>
      <c r="E31" s="338" t="s">
        <v>455</v>
      </c>
      <c r="F31" s="338" t="s">
        <v>240</v>
      </c>
      <c r="G31" s="348" t="s">
        <v>691</v>
      </c>
      <c r="H31" s="340">
        <v>206092</v>
      </c>
      <c r="I31" s="340">
        <f>H31-115000</f>
        <v>91092</v>
      </c>
      <c r="J31" s="318">
        <f>SUM(K31,L31:T31)+22000+60000</f>
        <v>82000</v>
      </c>
      <c r="K31" s="25">
        <v>0</v>
      </c>
      <c r="L31" s="283"/>
      <c r="M31" s="283">
        <v>0</v>
      </c>
      <c r="N31" s="283"/>
      <c r="O31" s="283"/>
      <c r="P31" s="283"/>
      <c r="Q31" s="283"/>
      <c r="R31" s="283"/>
      <c r="S31" s="283"/>
      <c r="T31" s="283"/>
      <c r="U31" s="318">
        <f t="shared" si="11"/>
        <v>0</v>
      </c>
      <c r="V31" s="25"/>
      <c r="W31" s="283"/>
      <c r="X31" s="283"/>
      <c r="Y31" s="340">
        <v>0</v>
      </c>
      <c r="Z31" s="400">
        <v>60000</v>
      </c>
      <c r="AA31" s="341"/>
      <c r="AB31" s="342" t="s">
        <v>998</v>
      </c>
      <c r="AC31" s="343" t="s">
        <v>999</v>
      </c>
      <c r="AD31" s="394">
        <f t="shared" si="5"/>
        <v>22000</v>
      </c>
      <c r="AF31" s="302"/>
      <c r="AG31" s="302"/>
      <c r="AH31" s="302"/>
      <c r="AI31" s="302"/>
    </row>
    <row r="32" spans="1:53" ht="99" customHeight="1">
      <c r="A32" s="334">
        <v>5</v>
      </c>
      <c r="B32" s="335" t="s">
        <v>359</v>
      </c>
      <c r="C32" s="334" t="s">
        <v>601</v>
      </c>
      <c r="D32" s="337" t="s">
        <v>21</v>
      </c>
      <c r="E32" s="334" t="s">
        <v>223</v>
      </c>
      <c r="F32" s="334" t="s">
        <v>39</v>
      </c>
      <c r="G32" s="334" t="s">
        <v>360</v>
      </c>
      <c r="H32" s="283">
        <v>1493000</v>
      </c>
      <c r="I32" s="283">
        <v>493000</v>
      </c>
      <c r="J32" s="318">
        <f>SUM(K32,L32:T32)+40929</f>
        <v>281685</v>
      </c>
      <c r="K32" s="25">
        <f>300000-209644+10000</f>
        <v>100356</v>
      </c>
      <c r="L32" s="283"/>
      <c r="M32" s="283"/>
      <c r="N32" s="283"/>
      <c r="O32" s="283"/>
      <c r="P32" s="283"/>
      <c r="Q32" s="283"/>
      <c r="R32" s="283"/>
      <c r="S32" s="283"/>
      <c r="T32" s="283">
        <v>140400</v>
      </c>
      <c r="U32" s="318">
        <f t="shared" si="11"/>
        <v>240756</v>
      </c>
      <c r="V32" s="25"/>
      <c r="W32" s="283"/>
      <c r="X32" s="404">
        <v>100356</v>
      </c>
      <c r="Y32" s="340">
        <v>140400</v>
      </c>
      <c r="Z32" s="400">
        <v>40929</v>
      </c>
      <c r="AA32" s="341"/>
      <c r="AB32" s="342" t="s">
        <v>899</v>
      </c>
      <c r="AC32" s="343" t="s">
        <v>681</v>
      </c>
      <c r="AD32" s="394">
        <f t="shared" si="5"/>
        <v>0</v>
      </c>
      <c r="AF32" s="302"/>
      <c r="AG32" s="302"/>
      <c r="AH32" s="302"/>
      <c r="AI32" s="302"/>
    </row>
    <row r="33" spans="1:36" ht="75.75" customHeight="1">
      <c r="A33" s="334">
        <v>6</v>
      </c>
      <c r="B33" s="335" t="s">
        <v>349</v>
      </c>
      <c r="C33" s="281" t="s">
        <v>222</v>
      </c>
      <c r="D33" s="337" t="s">
        <v>21</v>
      </c>
      <c r="E33" s="281" t="s">
        <v>225</v>
      </c>
      <c r="F33" s="281" t="s">
        <v>101</v>
      </c>
      <c r="G33" s="339" t="s">
        <v>602</v>
      </c>
      <c r="H33" s="283">
        <v>891966</v>
      </c>
      <c r="I33" s="283">
        <v>891966</v>
      </c>
      <c r="J33" s="318">
        <f>SUM(K33,L33:T33)+246000</f>
        <v>299000</v>
      </c>
      <c r="K33" s="283">
        <v>0</v>
      </c>
      <c r="L33" s="283"/>
      <c r="M33" s="283">
        <v>53000</v>
      </c>
      <c r="N33" s="283"/>
      <c r="O33" s="283"/>
      <c r="P33" s="283"/>
      <c r="Q33" s="283"/>
      <c r="R33" s="283"/>
      <c r="S33" s="283"/>
      <c r="T33" s="283"/>
      <c r="U33" s="318">
        <f t="shared" si="11"/>
        <v>53000</v>
      </c>
      <c r="V33" s="283"/>
      <c r="W33" s="283">
        <f>K33-V33</f>
        <v>0</v>
      </c>
      <c r="X33" s="53"/>
      <c r="Y33" s="340">
        <v>53000</v>
      </c>
      <c r="Z33" s="400">
        <f>246000</f>
        <v>246000</v>
      </c>
      <c r="AA33" s="342" t="s">
        <v>950</v>
      </c>
      <c r="AB33" s="342" t="s">
        <v>898</v>
      </c>
      <c r="AC33" s="343" t="s">
        <v>675</v>
      </c>
      <c r="AD33" s="394">
        <f t="shared" si="5"/>
        <v>0</v>
      </c>
      <c r="AG33" s="302"/>
      <c r="AH33" s="302"/>
      <c r="AI33" s="302"/>
      <c r="AJ33" s="302"/>
    </row>
    <row r="34" spans="1:36" s="333" customFormat="1" ht="44.25" customHeight="1">
      <c r="A34" s="327" t="s">
        <v>24</v>
      </c>
      <c r="B34" s="328" t="s">
        <v>63</v>
      </c>
      <c r="C34" s="328"/>
      <c r="D34" s="327"/>
      <c r="E34" s="328"/>
      <c r="F34" s="328"/>
      <c r="G34" s="328"/>
      <c r="H34" s="329">
        <f t="shared" ref="H34:Y34" si="13">SUM(H35:H47)</f>
        <v>5715521</v>
      </c>
      <c r="I34" s="329">
        <f t="shared" si="13"/>
        <v>2399272</v>
      </c>
      <c r="J34" s="329">
        <f t="shared" si="13"/>
        <v>1167847</v>
      </c>
      <c r="K34" s="329">
        <f t="shared" si="13"/>
        <v>810000</v>
      </c>
      <c r="L34" s="329">
        <f t="shared" si="13"/>
        <v>-69800</v>
      </c>
      <c r="M34" s="329">
        <f t="shared" si="13"/>
        <v>-90000</v>
      </c>
      <c r="N34" s="329">
        <f t="shared" si="13"/>
        <v>16647</v>
      </c>
      <c r="O34" s="329">
        <f t="shared" si="13"/>
        <v>-26000</v>
      </c>
      <c r="P34" s="329">
        <f t="shared" si="13"/>
        <v>0</v>
      </c>
      <c r="Q34" s="329">
        <f t="shared" si="13"/>
        <v>0</v>
      </c>
      <c r="R34" s="329">
        <f t="shared" si="13"/>
        <v>0</v>
      </c>
      <c r="S34" s="329">
        <f t="shared" si="13"/>
        <v>13000</v>
      </c>
      <c r="T34" s="329">
        <f t="shared" si="13"/>
        <v>160000</v>
      </c>
      <c r="U34" s="329">
        <f t="shared" si="13"/>
        <v>657828</v>
      </c>
      <c r="V34" s="329">
        <f t="shared" si="13"/>
        <v>120613</v>
      </c>
      <c r="W34" s="329">
        <f t="shared" si="13"/>
        <v>103332</v>
      </c>
      <c r="X34" s="329">
        <f t="shared" si="13"/>
        <v>156448</v>
      </c>
      <c r="Y34" s="329">
        <f t="shared" si="13"/>
        <v>277435</v>
      </c>
      <c r="Z34" s="329">
        <f>SUM(Z35:Z47)</f>
        <v>510019</v>
      </c>
      <c r="AA34" s="330"/>
      <c r="AB34" s="330"/>
      <c r="AC34" s="331"/>
      <c r="AD34" s="394">
        <f t="shared" si="5"/>
        <v>0</v>
      </c>
      <c r="AE34" s="332"/>
      <c r="AF34" s="332"/>
    </row>
    <row r="35" spans="1:36" ht="180" customHeight="1">
      <c r="A35" s="334">
        <v>1</v>
      </c>
      <c r="B35" s="335" t="s">
        <v>470</v>
      </c>
      <c r="C35" s="405" t="s">
        <v>471</v>
      </c>
      <c r="D35" s="337" t="s">
        <v>21</v>
      </c>
      <c r="E35" s="281" t="s">
        <v>472</v>
      </c>
      <c r="F35" s="281" t="s">
        <v>473</v>
      </c>
      <c r="G35" s="281" t="s">
        <v>965</v>
      </c>
      <c r="H35" s="25">
        <v>1458000</v>
      </c>
      <c r="I35" s="283">
        <v>353000</v>
      </c>
      <c r="J35" s="318">
        <f>SUM(K35,L35:T35)+109000</f>
        <v>189200</v>
      </c>
      <c r="K35" s="283">
        <v>150000</v>
      </c>
      <c r="L35" s="283">
        <v>-69800</v>
      </c>
      <c r="M35" s="283"/>
      <c r="N35" s="283"/>
      <c r="O35" s="283"/>
      <c r="P35" s="283"/>
      <c r="Q35" s="283"/>
      <c r="R35" s="283"/>
      <c r="S35" s="283"/>
      <c r="T35" s="283"/>
      <c r="U35" s="318">
        <f t="shared" ref="U35:U47" si="14">SUM(V35:Y35)</f>
        <v>119600</v>
      </c>
      <c r="V35" s="25">
        <v>0</v>
      </c>
      <c r="W35" s="283"/>
      <c r="X35" s="53">
        <v>62848</v>
      </c>
      <c r="Y35" s="340">
        <v>56752</v>
      </c>
      <c r="Z35" s="400">
        <v>69600</v>
      </c>
      <c r="AA35" s="341"/>
      <c r="AB35" s="342" t="s">
        <v>900</v>
      </c>
      <c r="AC35" s="343" t="s">
        <v>501</v>
      </c>
      <c r="AD35" s="394">
        <f t="shared" si="5"/>
        <v>0</v>
      </c>
      <c r="AE35" s="293" t="s">
        <v>275</v>
      </c>
      <c r="AF35" s="302">
        <f>J35</f>
        <v>189200</v>
      </c>
      <c r="AG35" s="302"/>
      <c r="AH35" s="302"/>
      <c r="AI35" s="302"/>
    </row>
    <row r="36" spans="1:36" ht="184.5" customHeight="1">
      <c r="A36" s="334">
        <v>2</v>
      </c>
      <c r="B36" s="335" t="s">
        <v>468</v>
      </c>
      <c r="C36" s="405" t="s">
        <v>17</v>
      </c>
      <c r="D36" s="337" t="s">
        <v>21</v>
      </c>
      <c r="E36" s="281" t="s">
        <v>469</v>
      </c>
      <c r="F36" s="281" t="s">
        <v>202</v>
      </c>
      <c r="G36" s="281" t="s">
        <v>845</v>
      </c>
      <c r="H36" s="283">
        <v>417126</v>
      </c>
      <c r="I36" s="283">
        <v>135396</v>
      </c>
      <c r="J36" s="318">
        <f>SUM(K36,L36:T36)+116000</f>
        <v>166000</v>
      </c>
      <c r="K36" s="283">
        <v>50000</v>
      </c>
      <c r="L36" s="283"/>
      <c r="M36" s="283"/>
      <c r="N36" s="283"/>
      <c r="O36" s="283"/>
      <c r="P36" s="283"/>
      <c r="Q36" s="283"/>
      <c r="R36" s="283"/>
      <c r="S36" s="283"/>
      <c r="T36" s="283"/>
      <c r="U36" s="318">
        <f t="shared" si="14"/>
        <v>85000</v>
      </c>
      <c r="V36" s="25">
        <v>8000</v>
      </c>
      <c r="W36" s="283"/>
      <c r="X36" s="53">
        <v>40000</v>
      </c>
      <c r="Y36" s="340">
        <v>37000</v>
      </c>
      <c r="Z36" s="400">
        <v>81000</v>
      </c>
      <c r="AA36" s="341"/>
      <c r="AB36" s="342" t="s">
        <v>901</v>
      </c>
      <c r="AC36" s="343" t="s">
        <v>502</v>
      </c>
      <c r="AD36" s="394">
        <f t="shared" si="5"/>
        <v>0</v>
      </c>
      <c r="AE36" s="293" t="s">
        <v>275</v>
      </c>
      <c r="AF36" s="302">
        <f>J36</f>
        <v>166000</v>
      </c>
      <c r="AG36" s="302"/>
      <c r="AH36" s="302"/>
      <c r="AI36" s="302"/>
    </row>
    <row r="37" spans="1:36" ht="120.75" customHeight="1">
      <c r="A37" s="334">
        <f>+A36+1</f>
        <v>3</v>
      </c>
      <c r="B37" s="335" t="s">
        <v>426</v>
      </c>
      <c r="C37" s="405" t="s">
        <v>64</v>
      </c>
      <c r="D37" s="337" t="s">
        <v>21</v>
      </c>
      <c r="E37" s="406" t="s">
        <v>427</v>
      </c>
      <c r="F37" s="406" t="s">
        <v>202</v>
      </c>
      <c r="G37" s="367" t="s">
        <v>428</v>
      </c>
      <c r="H37" s="359">
        <v>391654</v>
      </c>
      <c r="I37" s="359">
        <v>341654</v>
      </c>
      <c r="J37" s="318">
        <f>SUM(K37,L37:T37)+85000</f>
        <v>235000</v>
      </c>
      <c r="K37" s="283">
        <v>150000</v>
      </c>
      <c r="L37" s="283"/>
      <c r="M37" s="283"/>
      <c r="N37" s="283"/>
      <c r="O37" s="283"/>
      <c r="P37" s="283"/>
      <c r="Q37" s="283"/>
      <c r="R37" s="283"/>
      <c r="S37" s="283"/>
      <c r="T37" s="283"/>
      <c r="U37" s="318">
        <f t="shared" si="14"/>
        <v>131000</v>
      </c>
      <c r="V37" s="283">
        <v>50000</v>
      </c>
      <c r="W37" s="53">
        <v>45000</v>
      </c>
      <c r="X37" s="53">
        <v>16000</v>
      </c>
      <c r="Y37" s="22">
        <v>20000</v>
      </c>
      <c r="Z37" s="400">
        <v>104000</v>
      </c>
      <c r="AA37" s="341" t="s">
        <v>857</v>
      </c>
      <c r="AB37" s="342" t="s">
        <v>922</v>
      </c>
      <c r="AC37" s="343" t="s">
        <v>923</v>
      </c>
      <c r="AD37" s="394">
        <f t="shared" si="5"/>
        <v>0</v>
      </c>
      <c r="AG37" s="302"/>
      <c r="AH37" s="302"/>
      <c r="AI37" s="302"/>
      <c r="AJ37" s="302"/>
    </row>
    <row r="38" spans="1:36" ht="81.75" customHeight="1">
      <c r="A38" s="334">
        <f t="shared" ref="A38:A39" si="15">+A37+1</f>
        <v>4</v>
      </c>
      <c r="B38" s="335" t="s">
        <v>201</v>
      </c>
      <c r="C38" s="405" t="s">
        <v>17</v>
      </c>
      <c r="D38" s="337" t="s">
        <v>21</v>
      </c>
      <c r="E38" s="281" t="s">
        <v>204</v>
      </c>
      <c r="F38" s="281" t="s">
        <v>203</v>
      </c>
      <c r="G38" s="282" t="s">
        <v>205</v>
      </c>
      <c r="H38" s="283">
        <v>812110</v>
      </c>
      <c r="I38" s="283">
        <v>810110</v>
      </c>
      <c r="J38" s="318">
        <f t="shared" ref="J38:J46" si="16">SUM(K38,L38:T38)</f>
        <v>297000</v>
      </c>
      <c r="K38" s="283">
        <v>150000</v>
      </c>
      <c r="L38" s="283"/>
      <c r="M38" s="283"/>
      <c r="N38" s="283"/>
      <c r="O38" s="283">
        <v>-26000</v>
      </c>
      <c r="P38" s="283"/>
      <c r="Q38" s="283"/>
      <c r="R38" s="283"/>
      <c r="S38" s="283">
        <v>13000</v>
      </c>
      <c r="T38" s="283">
        <v>160000</v>
      </c>
      <c r="U38" s="318">
        <f t="shared" si="14"/>
        <v>195945</v>
      </c>
      <c r="V38" s="283">
        <v>62613</v>
      </c>
      <c r="W38" s="356">
        <v>58332</v>
      </c>
      <c r="X38" s="53">
        <v>15000</v>
      </c>
      <c r="Y38" s="340">
        <v>60000</v>
      </c>
      <c r="Z38" s="400">
        <v>101055</v>
      </c>
      <c r="AA38" s="341" t="s">
        <v>352</v>
      </c>
      <c r="AB38" s="341" t="s">
        <v>879</v>
      </c>
      <c r="AC38" s="350"/>
      <c r="AD38" s="394">
        <f t="shared" si="5"/>
        <v>0</v>
      </c>
      <c r="AE38" s="293" t="s">
        <v>289</v>
      </c>
      <c r="AF38" s="293" t="s">
        <v>275</v>
      </c>
      <c r="AG38" s="302">
        <f>J38</f>
        <v>297000</v>
      </c>
      <c r="AH38" s="302"/>
      <c r="AI38" s="302"/>
      <c r="AJ38" s="302"/>
    </row>
    <row r="39" spans="1:36" ht="147" customHeight="1">
      <c r="A39" s="334">
        <f t="shared" si="15"/>
        <v>5</v>
      </c>
      <c r="B39" s="335" t="s">
        <v>206</v>
      </c>
      <c r="C39" s="407" t="s">
        <v>207</v>
      </c>
      <c r="D39" s="337" t="s">
        <v>21</v>
      </c>
      <c r="E39" s="281" t="s">
        <v>208</v>
      </c>
      <c r="F39" s="281" t="s">
        <v>202</v>
      </c>
      <c r="G39" s="281" t="s">
        <v>605</v>
      </c>
      <c r="H39" s="283">
        <v>635270</v>
      </c>
      <c r="I39" s="283">
        <v>204770</v>
      </c>
      <c r="J39" s="318">
        <f>SUM(K39,L39:T39)-10000</f>
        <v>150000</v>
      </c>
      <c r="K39" s="283">
        <v>160000</v>
      </c>
      <c r="L39" s="283"/>
      <c r="M39" s="283"/>
      <c r="N39" s="283"/>
      <c r="O39" s="283"/>
      <c r="P39" s="283"/>
      <c r="Q39" s="283"/>
      <c r="R39" s="283"/>
      <c r="S39" s="283"/>
      <c r="T39" s="283"/>
      <c r="U39" s="318">
        <f t="shared" si="14"/>
        <v>99636</v>
      </c>
      <c r="V39" s="283"/>
      <c r="W39" s="283"/>
      <c r="X39" s="53">
        <v>21600</v>
      </c>
      <c r="Y39" s="340">
        <v>78036</v>
      </c>
      <c r="Z39" s="400">
        <v>50364</v>
      </c>
      <c r="AA39" s="341"/>
      <c r="AB39" s="342" t="s">
        <v>902</v>
      </c>
      <c r="AC39" s="343" t="s">
        <v>629</v>
      </c>
      <c r="AD39" s="394">
        <f t="shared" si="5"/>
        <v>0</v>
      </c>
      <c r="AE39" s="293" t="s">
        <v>289</v>
      </c>
      <c r="AF39" s="293" t="s">
        <v>275</v>
      </c>
      <c r="AG39" s="302">
        <f>J39</f>
        <v>150000</v>
      </c>
      <c r="AH39" s="302"/>
      <c r="AI39" s="302"/>
      <c r="AJ39" s="302"/>
    </row>
    <row r="40" spans="1:36" ht="239.25" customHeight="1">
      <c r="A40" s="334">
        <v>6</v>
      </c>
      <c r="B40" s="335" t="s">
        <v>606</v>
      </c>
      <c r="C40" s="407" t="s">
        <v>607</v>
      </c>
      <c r="D40" s="337" t="s">
        <v>21</v>
      </c>
      <c r="E40" s="281" t="s">
        <v>608</v>
      </c>
      <c r="F40" s="281" t="s">
        <v>217</v>
      </c>
      <c r="G40" s="281" t="s">
        <v>966</v>
      </c>
      <c r="H40" s="283">
        <v>124451</v>
      </c>
      <c r="I40" s="283">
        <v>26351</v>
      </c>
      <c r="J40" s="318">
        <f>SUM(K40,L40:T40)-3000</f>
        <v>22000</v>
      </c>
      <c r="K40" s="283">
        <v>25000</v>
      </c>
      <c r="L40" s="283"/>
      <c r="M40" s="283"/>
      <c r="N40" s="283"/>
      <c r="O40" s="283"/>
      <c r="P40" s="283"/>
      <c r="Q40" s="283"/>
      <c r="R40" s="283"/>
      <c r="S40" s="283"/>
      <c r="T40" s="283"/>
      <c r="U40" s="318">
        <f t="shared" si="14"/>
        <v>0</v>
      </c>
      <c r="V40" s="283"/>
      <c r="W40" s="283"/>
      <c r="X40" s="53">
        <v>0</v>
      </c>
      <c r="Y40" s="340">
        <v>0</v>
      </c>
      <c r="Z40" s="400">
        <v>22000</v>
      </c>
      <c r="AA40" s="341"/>
      <c r="AB40" s="342" t="s">
        <v>903</v>
      </c>
      <c r="AC40" s="343" t="s">
        <v>851</v>
      </c>
      <c r="AD40" s="394">
        <f t="shared" si="5"/>
        <v>0</v>
      </c>
      <c r="AG40" s="302"/>
      <c r="AH40" s="302"/>
      <c r="AI40" s="302"/>
      <c r="AJ40" s="302"/>
    </row>
    <row r="41" spans="1:36" ht="109.5" customHeight="1">
      <c r="A41" s="334">
        <v>7</v>
      </c>
      <c r="B41" s="335" t="s">
        <v>209</v>
      </c>
      <c r="C41" s="281" t="s">
        <v>49</v>
      </c>
      <c r="D41" s="337" t="s">
        <v>21</v>
      </c>
      <c r="E41" s="281" t="s">
        <v>213</v>
      </c>
      <c r="F41" s="281" t="s">
        <v>212</v>
      </c>
      <c r="G41" s="281" t="s">
        <v>967</v>
      </c>
      <c r="H41" s="283">
        <v>148098</v>
      </c>
      <c r="I41" s="283">
        <v>48098</v>
      </c>
      <c r="J41" s="318">
        <f>SUM(K41,L41:T41)-18000</f>
        <v>12000</v>
      </c>
      <c r="K41" s="283">
        <v>30000</v>
      </c>
      <c r="L41" s="283"/>
      <c r="M41" s="283"/>
      <c r="N41" s="283"/>
      <c r="O41" s="283"/>
      <c r="P41" s="283"/>
      <c r="Q41" s="283"/>
      <c r="R41" s="283"/>
      <c r="S41" s="283"/>
      <c r="T41" s="283"/>
      <c r="U41" s="318">
        <f t="shared" si="14"/>
        <v>10000</v>
      </c>
      <c r="V41" s="283"/>
      <c r="W41" s="283"/>
      <c r="X41" s="53">
        <v>0</v>
      </c>
      <c r="Y41" s="340">
        <v>10000</v>
      </c>
      <c r="Z41" s="400">
        <v>2000</v>
      </c>
      <c r="AA41" s="158"/>
      <c r="AB41" s="269" t="s">
        <v>904</v>
      </c>
      <c r="AC41" s="263" t="s">
        <v>461</v>
      </c>
      <c r="AD41" s="394">
        <f t="shared" si="5"/>
        <v>0</v>
      </c>
      <c r="AE41" s="293" t="s">
        <v>289</v>
      </c>
      <c r="AF41" s="293" t="s">
        <v>275</v>
      </c>
      <c r="AG41" s="302">
        <f t="shared" ref="AG41:AG46" si="17">J41</f>
        <v>12000</v>
      </c>
      <c r="AH41" s="302"/>
      <c r="AI41" s="302"/>
      <c r="AJ41" s="302"/>
    </row>
    <row r="42" spans="1:36" ht="115.5" customHeight="1">
      <c r="A42" s="334">
        <v>8</v>
      </c>
      <c r="B42" s="335" t="s">
        <v>429</v>
      </c>
      <c r="C42" s="281" t="s">
        <v>109</v>
      </c>
      <c r="D42" s="337" t="s">
        <v>21</v>
      </c>
      <c r="E42" s="281" t="s">
        <v>430</v>
      </c>
      <c r="F42" s="281" t="s">
        <v>217</v>
      </c>
      <c r="G42" s="282" t="s">
        <v>610</v>
      </c>
      <c r="H42" s="283">
        <v>256771</v>
      </c>
      <c r="I42" s="283">
        <v>56000</v>
      </c>
      <c r="J42" s="318">
        <f t="shared" si="16"/>
        <v>1000</v>
      </c>
      <c r="K42" s="25">
        <v>20000</v>
      </c>
      <c r="L42" s="283"/>
      <c r="M42" s="283">
        <v>-19000</v>
      </c>
      <c r="N42" s="283"/>
      <c r="O42" s="283"/>
      <c r="P42" s="283"/>
      <c r="Q42" s="283"/>
      <c r="R42" s="283"/>
      <c r="S42" s="283"/>
      <c r="T42" s="283"/>
      <c r="U42" s="318">
        <f t="shared" si="14"/>
        <v>0</v>
      </c>
      <c r="V42" s="25"/>
      <c r="W42" s="283"/>
      <c r="X42" s="53">
        <v>0</v>
      </c>
      <c r="Y42" s="340">
        <v>0</v>
      </c>
      <c r="Z42" s="400">
        <v>1000</v>
      </c>
      <c r="AA42" s="341"/>
      <c r="AB42" s="341" t="s">
        <v>879</v>
      </c>
      <c r="AC42" s="350"/>
      <c r="AD42" s="394">
        <f t="shared" si="5"/>
        <v>0</v>
      </c>
      <c r="AE42" s="293" t="s">
        <v>290</v>
      </c>
      <c r="AF42" s="293" t="s">
        <v>275</v>
      </c>
      <c r="AG42" s="302">
        <f t="shared" si="17"/>
        <v>1000</v>
      </c>
      <c r="AH42" s="302"/>
      <c r="AI42" s="302"/>
      <c r="AJ42" s="302"/>
    </row>
    <row r="43" spans="1:36" ht="108.75" customHeight="1">
      <c r="A43" s="334">
        <v>9</v>
      </c>
      <c r="B43" s="335" t="s">
        <v>431</v>
      </c>
      <c r="C43" s="281" t="s">
        <v>432</v>
      </c>
      <c r="D43" s="337" t="s">
        <v>21</v>
      </c>
      <c r="E43" s="281" t="s">
        <v>433</v>
      </c>
      <c r="F43" s="281" t="s">
        <v>217</v>
      </c>
      <c r="G43" s="282" t="s">
        <v>565</v>
      </c>
      <c r="H43" s="283">
        <v>292004</v>
      </c>
      <c r="I43" s="283">
        <v>72004</v>
      </c>
      <c r="J43" s="318">
        <f>SUM(K43,L43:T43)+20000</f>
        <v>21000</v>
      </c>
      <c r="K43" s="25">
        <v>20000</v>
      </c>
      <c r="L43" s="283"/>
      <c r="M43" s="283">
        <v>-19000</v>
      </c>
      <c r="N43" s="283"/>
      <c r="O43" s="283"/>
      <c r="P43" s="283"/>
      <c r="Q43" s="283"/>
      <c r="R43" s="283"/>
      <c r="S43" s="283"/>
      <c r="T43" s="283"/>
      <c r="U43" s="318">
        <f t="shared" si="14"/>
        <v>0</v>
      </c>
      <c r="V43" s="25"/>
      <c r="W43" s="283"/>
      <c r="X43" s="53">
        <v>0</v>
      </c>
      <c r="Y43" s="340">
        <v>0</v>
      </c>
      <c r="Z43" s="400">
        <f>1000+20000</f>
        <v>21000</v>
      </c>
      <c r="AA43" s="341" t="s">
        <v>858</v>
      </c>
      <c r="AB43" s="343" t="s">
        <v>929</v>
      </c>
      <c r="AC43" s="343" t="s">
        <v>844</v>
      </c>
      <c r="AD43" s="394">
        <f t="shared" si="5"/>
        <v>0</v>
      </c>
      <c r="AE43" s="293" t="s">
        <v>290</v>
      </c>
      <c r="AF43" s="293" t="s">
        <v>275</v>
      </c>
      <c r="AG43" s="302">
        <f t="shared" si="17"/>
        <v>21000</v>
      </c>
      <c r="AH43" s="302"/>
      <c r="AI43" s="302"/>
      <c r="AJ43" s="302"/>
    </row>
    <row r="44" spans="1:36" ht="114.75" customHeight="1">
      <c r="A44" s="334">
        <v>10</v>
      </c>
      <c r="B44" s="335" t="s">
        <v>434</v>
      </c>
      <c r="C44" s="281" t="s">
        <v>435</v>
      </c>
      <c r="D44" s="337" t="s">
        <v>21</v>
      </c>
      <c r="E44" s="281" t="s">
        <v>436</v>
      </c>
      <c r="F44" s="281" t="s">
        <v>39</v>
      </c>
      <c r="G44" s="282" t="s">
        <v>611</v>
      </c>
      <c r="H44" s="283">
        <v>309730</v>
      </c>
      <c r="I44" s="283">
        <v>59730</v>
      </c>
      <c r="J44" s="318">
        <f t="shared" si="16"/>
        <v>1000</v>
      </c>
      <c r="K44" s="25">
        <v>20000</v>
      </c>
      <c r="L44" s="283"/>
      <c r="M44" s="283">
        <v>-19000</v>
      </c>
      <c r="N44" s="283"/>
      <c r="O44" s="283"/>
      <c r="P44" s="283"/>
      <c r="Q44" s="283"/>
      <c r="R44" s="283"/>
      <c r="S44" s="283"/>
      <c r="T44" s="283"/>
      <c r="U44" s="318">
        <f t="shared" si="14"/>
        <v>0</v>
      </c>
      <c r="V44" s="25"/>
      <c r="W44" s="283"/>
      <c r="X44" s="53">
        <v>0</v>
      </c>
      <c r="Y44" s="340">
        <v>0</v>
      </c>
      <c r="Z44" s="400">
        <v>1000</v>
      </c>
      <c r="AA44" s="341"/>
      <c r="AB44" s="341" t="s">
        <v>879</v>
      </c>
      <c r="AC44" s="350"/>
      <c r="AD44" s="394">
        <f t="shared" si="5"/>
        <v>0</v>
      </c>
      <c r="AE44" s="293" t="s">
        <v>290</v>
      </c>
      <c r="AF44" s="293" t="s">
        <v>275</v>
      </c>
      <c r="AG44" s="302">
        <f t="shared" si="17"/>
        <v>1000</v>
      </c>
      <c r="AH44" s="302"/>
      <c r="AI44" s="302"/>
      <c r="AJ44" s="302"/>
    </row>
    <row r="45" spans="1:36" ht="150" customHeight="1">
      <c r="A45" s="334">
        <v>11</v>
      </c>
      <c r="B45" s="335" t="s">
        <v>437</v>
      </c>
      <c r="C45" s="408" t="s">
        <v>438</v>
      </c>
      <c r="D45" s="337" t="s">
        <v>21</v>
      </c>
      <c r="E45" s="281" t="s">
        <v>439</v>
      </c>
      <c r="F45" s="281" t="s">
        <v>39</v>
      </c>
      <c r="G45" s="282" t="s">
        <v>612</v>
      </c>
      <c r="H45" s="283">
        <v>294912</v>
      </c>
      <c r="I45" s="283">
        <v>124764</v>
      </c>
      <c r="J45" s="318">
        <f t="shared" si="16"/>
        <v>1000</v>
      </c>
      <c r="K45" s="25">
        <v>20000</v>
      </c>
      <c r="L45" s="283"/>
      <c r="M45" s="283">
        <v>-19000</v>
      </c>
      <c r="N45" s="283"/>
      <c r="O45" s="283"/>
      <c r="P45" s="283"/>
      <c r="Q45" s="283"/>
      <c r="R45" s="283"/>
      <c r="S45" s="283"/>
      <c r="T45" s="283"/>
      <c r="U45" s="318">
        <f t="shared" si="14"/>
        <v>0</v>
      </c>
      <c r="V45" s="25"/>
      <c r="W45" s="283"/>
      <c r="X45" s="53">
        <v>0</v>
      </c>
      <c r="Y45" s="340">
        <v>0</v>
      </c>
      <c r="Z45" s="400">
        <v>1000</v>
      </c>
      <c r="AA45" s="341"/>
      <c r="AB45" s="341" t="s">
        <v>879</v>
      </c>
      <c r="AC45" s="350"/>
      <c r="AD45" s="394">
        <f t="shared" si="5"/>
        <v>0</v>
      </c>
      <c r="AE45" s="293" t="s">
        <v>290</v>
      </c>
      <c r="AF45" s="293" t="s">
        <v>275</v>
      </c>
      <c r="AG45" s="302">
        <f t="shared" si="17"/>
        <v>1000</v>
      </c>
      <c r="AH45" s="302"/>
      <c r="AI45" s="302"/>
      <c r="AJ45" s="302"/>
    </row>
    <row r="46" spans="1:36" ht="143.25" customHeight="1">
      <c r="A46" s="334">
        <v>12</v>
      </c>
      <c r="B46" s="358" t="s">
        <v>440</v>
      </c>
      <c r="C46" s="281" t="s">
        <v>441</v>
      </c>
      <c r="D46" s="337" t="s">
        <v>21</v>
      </c>
      <c r="E46" s="281" t="s">
        <v>442</v>
      </c>
      <c r="F46" s="281" t="s">
        <v>39</v>
      </c>
      <c r="G46" s="282" t="s">
        <v>613</v>
      </c>
      <c r="H46" s="283">
        <v>275395</v>
      </c>
      <c r="I46" s="283">
        <v>67395</v>
      </c>
      <c r="J46" s="318">
        <f t="shared" si="16"/>
        <v>1000</v>
      </c>
      <c r="K46" s="25">
        <v>15000</v>
      </c>
      <c r="L46" s="283"/>
      <c r="M46" s="283">
        <v>-14000</v>
      </c>
      <c r="N46" s="283"/>
      <c r="O46" s="283"/>
      <c r="P46" s="283"/>
      <c r="Q46" s="283"/>
      <c r="R46" s="283"/>
      <c r="S46" s="283"/>
      <c r="T46" s="283"/>
      <c r="U46" s="318">
        <f t="shared" si="14"/>
        <v>0</v>
      </c>
      <c r="V46" s="25"/>
      <c r="W46" s="283"/>
      <c r="X46" s="53">
        <v>0</v>
      </c>
      <c r="Y46" s="340">
        <v>0</v>
      </c>
      <c r="Z46" s="400">
        <v>1000</v>
      </c>
      <c r="AA46" s="341"/>
      <c r="AB46" s="341" t="s">
        <v>879</v>
      </c>
      <c r="AC46" s="350"/>
      <c r="AD46" s="394">
        <f t="shared" si="5"/>
        <v>0</v>
      </c>
      <c r="AE46" s="293" t="s">
        <v>290</v>
      </c>
      <c r="AF46" s="293" t="s">
        <v>275</v>
      </c>
      <c r="AG46" s="302">
        <f t="shared" si="17"/>
        <v>1000</v>
      </c>
      <c r="AH46" s="302"/>
      <c r="AI46" s="302"/>
      <c r="AJ46" s="302"/>
    </row>
    <row r="47" spans="1:36" ht="126" customHeight="1">
      <c r="A47" s="334">
        <v>13</v>
      </c>
      <c r="B47" s="358" t="s">
        <v>474</v>
      </c>
      <c r="C47" s="281" t="s">
        <v>475</v>
      </c>
      <c r="D47" s="337" t="s">
        <v>21</v>
      </c>
      <c r="E47" s="281" t="s">
        <v>476</v>
      </c>
      <c r="F47" s="281" t="s">
        <v>101</v>
      </c>
      <c r="G47" s="282" t="s">
        <v>609</v>
      </c>
      <c r="H47" s="283">
        <v>300000</v>
      </c>
      <c r="I47" s="283">
        <v>100000</v>
      </c>
      <c r="J47" s="318">
        <f>SUM(K47,L47:T47)+55000</f>
        <v>71647</v>
      </c>
      <c r="K47" s="25"/>
      <c r="L47" s="283"/>
      <c r="M47" s="283"/>
      <c r="N47" s="283">
        <v>16647</v>
      </c>
      <c r="O47" s="283"/>
      <c r="P47" s="283"/>
      <c r="Q47" s="283"/>
      <c r="R47" s="283"/>
      <c r="S47" s="283"/>
      <c r="T47" s="283"/>
      <c r="U47" s="318">
        <f t="shared" si="14"/>
        <v>16647</v>
      </c>
      <c r="V47" s="25"/>
      <c r="W47" s="283"/>
      <c r="X47" s="53">
        <v>1000</v>
      </c>
      <c r="Y47" s="340">
        <v>15647</v>
      </c>
      <c r="Z47" s="400">
        <v>55000</v>
      </c>
      <c r="AA47" s="341"/>
      <c r="AB47" s="342" t="s">
        <v>905</v>
      </c>
      <c r="AC47" s="343" t="s">
        <v>503</v>
      </c>
      <c r="AD47" s="394">
        <f t="shared" si="5"/>
        <v>0</v>
      </c>
      <c r="AE47" s="293" t="s">
        <v>275</v>
      </c>
      <c r="AF47" s="302">
        <f>J47</f>
        <v>71647</v>
      </c>
      <c r="AG47" s="302"/>
      <c r="AH47" s="302"/>
      <c r="AI47" s="302"/>
    </row>
    <row r="48" spans="1:36" s="333" customFormat="1" ht="44.25" customHeight="1">
      <c r="A48" s="327" t="s">
        <v>29</v>
      </c>
      <c r="B48" s="328" t="s">
        <v>228</v>
      </c>
      <c r="C48" s="328"/>
      <c r="D48" s="327"/>
      <c r="E48" s="328"/>
      <c r="F48" s="328"/>
      <c r="G48" s="328"/>
      <c r="H48" s="329">
        <f t="shared" ref="H48:Y48" si="18">SUM(H49:H52)</f>
        <v>214958</v>
      </c>
      <c r="I48" s="329">
        <f t="shared" si="18"/>
        <v>214958</v>
      </c>
      <c r="J48" s="329">
        <f t="shared" si="18"/>
        <v>199500</v>
      </c>
      <c r="K48" s="329">
        <f t="shared" si="18"/>
        <v>219000</v>
      </c>
      <c r="L48" s="329">
        <f t="shared" si="18"/>
        <v>0</v>
      </c>
      <c r="M48" s="329">
        <f t="shared" si="18"/>
        <v>0</v>
      </c>
      <c r="N48" s="329">
        <f t="shared" si="18"/>
        <v>0</v>
      </c>
      <c r="O48" s="329">
        <f t="shared" si="18"/>
        <v>0</v>
      </c>
      <c r="P48" s="329">
        <f t="shared" si="18"/>
        <v>0</v>
      </c>
      <c r="Q48" s="329">
        <f t="shared" si="18"/>
        <v>0</v>
      </c>
      <c r="R48" s="329">
        <f t="shared" si="18"/>
        <v>0</v>
      </c>
      <c r="S48" s="329">
        <f t="shared" si="18"/>
        <v>0</v>
      </c>
      <c r="T48" s="329">
        <f t="shared" si="18"/>
        <v>0</v>
      </c>
      <c r="U48" s="329">
        <f t="shared" si="18"/>
        <v>81000</v>
      </c>
      <c r="V48" s="329">
        <f t="shared" si="18"/>
        <v>0</v>
      </c>
      <c r="W48" s="329">
        <f t="shared" si="18"/>
        <v>17000</v>
      </c>
      <c r="X48" s="329">
        <f t="shared" si="18"/>
        <v>0</v>
      </c>
      <c r="Y48" s="329">
        <f t="shared" si="18"/>
        <v>64000</v>
      </c>
      <c r="Z48" s="329">
        <f>SUM(Z49:Z52)</f>
        <v>118500</v>
      </c>
      <c r="AA48" s="330"/>
      <c r="AB48" s="330"/>
      <c r="AC48" s="331"/>
      <c r="AD48" s="394">
        <f t="shared" si="5"/>
        <v>0</v>
      </c>
      <c r="AE48" s="332"/>
      <c r="AF48" s="332"/>
    </row>
    <row r="49" spans="1:36" ht="83.25" customHeight="1">
      <c r="A49" s="334">
        <v>1</v>
      </c>
      <c r="B49" s="409" t="s">
        <v>244</v>
      </c>
      <c r="C49" s="281" t="s">
        <v>245</v>
      </c>
      <c r="D49" s="279" t="s">
        <v>19</v>
      </c>
      <c r="E49" s="281" t="s">
        <v>246</v>
      </c>
      <c r="F49" s="281" t="s">
        <v>101</v>
      </c>
      <c r="G49" s="282" t="s">
        <v>969</v>
      </c>
      <c r="H49" s="283">
        <v>16027</v>
      </c>
      <c r="I49" s="283">
        <v>16027</v>
      </c>
      <c r="J49" s="318">
        <f>SUM(K49,L49:T49)-10500</f>
        <v>14500</v>
      </c>
      <c r="K49" s="25">
        <v>25000</v>
      </c>
      <c r="L49" s="25"/>
      <c r="M49" s="25"/>
      <c r="N49" s="25"/>
      <c r="O49" s="25"/>
      <c r="P49" s="25"/>
      <c r="Q49" s="25"/>
      <c r="R49" s="25"/>
      <c r="S49" s="25"/>
      <c r="T49" s="25"/>
      <c r="U49" s="318">
        <f>SUM(V49:Y49)</f>
        <v>4000</v>
      </c>
      <c r="V49" s="25"/>
      <c r="W49" s="25"/>
      <c r="X49" s="53">
        <v>0</v>
      </c>
      <c r="Y49" s="340">
        <v>4000</v>
      </c>
      <c r="Z49" s="400">
        <v>10500</v>
      </c>
      <c r="AA49" s="158"/>
      <c r="AB49" s="269" t="s">
        <v>906</v>
      </c>
      <c r="AC49" s="263" t="s">
        <v>459</v>
      </c>
      <c r="AD49" s="394">
        <f t="shared" si="5"/>
        <v>0</v>
      </c>
      <c r="AE49" s="293" t="s">
        <v>290</v>
      </c>
      <c r="AF49" s="293" t="s">
        <v>276</v>
      </c>
      <c r="AG49" s="302">
        <f>J49</f>
        <v>14500</v>
      </c>
      <c r="AH49" s="302"/>
      <c r="AI49" s="302"/>
      <c r="AJ49" s="302"/>
    </row>
    <row r="50" spans="1:36" ht="94.5" customHeight="1">
      <c r="A50" s="334">
        <f t="shared" ref="A50:A51" si="19">+A49+1</f>
        <v>2</v>
      </c>
      <c r="B50" s="410" t="s">
        <v>380</v>
      </c>
      <c r="C50" s="281" t="s">
        <v>243</v>
      </c>
      <c r="D50" s="279" t="s">
        <v>19</v>
      </c>
      <c r="E50" s="281" t="s">
        <v>246</v>
      </c>
      <c r="F50" s="281" t="s">
        <v>101</v>
      </c>
      <c r="G50" s="282" t="s">
        <v>970</v>
      </c>
      <c r="H50" s="283">
        <v>24267</v>
      </c>
      <c r="I50" s="283">
        <v>24267</v>
      </c>
      <c r="J50" s="318">
        <f>SUM(K50,L50:T50)-4000</f>
        <v>22000</v>
      </c>
      <c r="K50" s="25">
        <v>26000</v>
      </c>
      <c r="L50" s="25"/>
      <c r="M50" s="25"/>
      <c r="N50" s="25"/>
      <c r="O50" s="25"/>
      <c r="P50" s="25"/>
      <c r="Q50" s="25"/>
      <c r="R50" s="25"/>
      <c r="S50" s="25"/>
      <c r="T50" s="25"/>
      <c r="U50" s="318">
        <f>SUM(V50:Y50)</f>
        <v>15000</v>
      </c>
      <c r="V50" s="25"/>
      <c r="W50" s="23">
        <v>3000</v>
      </c>
      <c r="X50" s="400">
        <v>0</v>
      </c>
      <c r="Y50" s="22">
        <v>12000</v>
      </c>
      <c r="Z50" s="400">
        <v>7000</v>
      </c>
      <c r="AA50" s="158"/>
      <c r="AB50" s="269" t="s">
        <v>907</v>
      </c>
      <c r="AC50" s="263" t="s">
        <v>460</v>
      </c>
      <c r="AD50" s="394">
        <f t="shared" si="5"/>
        <v>0</v>
      </c>
      <c r="AE50" s="293" t="s">
        <v>290</v>
      </c>
      <c r="AF50" s="293" t="s">
        <v>276</v>
      </c>
      <c r="AG50" s="302">
        <f>J50</f>
        <v>22000</v>
      </c>
      <c r="AH50" s="302"/>
      <c r="AI50" s="302"/>
      <c r="AJ50" s="302"/>
    </row>
    <row r="51" spans="1:36" ht="117.75" customHeight="1">
      <c r="A51" s="334">
        <f t="shared" si="19"/>
        <v>3</v>
      </c>
      <c r="B51" s="410" t="s">
        <v>381</v>
      </c>
      <c r="C51" s="281" t="s">
        <v>243</v>
      </c>
      <c r="D51" s="279" t="s">
        <v>21</v>
      </c>
      <c r="E51" s="281" t="s">
        <v>246</v>
      </c>
      <c r="F51" s="281" t="s">
        <v>101</v>
      </c>
      <c r="G51" s="282" t="s">
        <v>971</v>
      </c>
      <c r="H51" s="283">
        <v>152921</v>
      </c>
      <c r="I51" s="283">
        <v>152921</v>
      </c>
      <c r="J51" s="318">
        <f>SUM(K51,L51:T51)-5000</f>
        <v>145000</v>
      </c>
      <c r="K51" s="25">
        <v>150000</v>
      </c>
      <c r="L51" s="25"/>
      <c r="M51" s="25"/>
      <c r="N51" s="25"/>
      <c r="O51" s="25"/>
      <c r="P51" s="25"/>
      <c r="Q51" s="25"/>
      <c r="R51" s="25"/>
      <c r="S51" s="25"/>
      <c r="T51" s="25"/>
      <c r="U51" s="318">
        <f>SUM(V51:Y51)</f>
        <v>47000</v>
      </c>
      <c r="V51" s="25"/>
      <c r="W51" s="23">
        <v>14000</v>
      </c>
      <c r="X51" s="400">
        <v>0</v>
      </c>
      <c r="Y51" s="22">
        <v>33000</v>
      </c>
      <c r="Z51" s="400">
        <v>98000</v>
      </c>
      <c r="AA51" s="158"/>
      <c r="AB51" s="269" t="s">
        <v>908</v>
      </c>
      <c r="AC51" s="263" t="s">
        <v>505</v>
      </c>
      <c r="AD51" s="394">
        <f t="shared" si="5"/>
        <v>0</v>
      </c>
      <c r="AE51" s="293" t="s">
        <v>290</v>
      </c>
      <c r="AF51" s="293" t="s">
        <v>276</v>
      </c>
      <c r="AG51" s="302">
        <f>J51</f>
        <v>145000</v>
      </c>
      <c r="AH51" s="302"/>
      <c r="AI51" s="302"/>
      <c r="AJ51" s="302"/>
    </row>
    <row r="52" spans="1:36" ht="73.5" customHeight="1">
      <c r="A52" s="334">
        <v>4</v>
      </c>
      <c r="B52" s="411" t="s">
        <v>241</v>
      </c>
      <c r="C52" s="338" t="s">
        <v>298</v>
      </c>
      <c r="D52" s="279" t="s">
        <v>19</v>
      </c>
      <c r="E52" s="412" t="s">
        <v>246</v>
      </c>
      <c r="F52" s="338" t="s">
        <v>240</v>
      </c>
      <c r="G52" s="282" t="s">
        <v>614</v>
      </c>
      <c r="H52" s="283">
        <v>21743</v>
      </c>
      <c r="I52" s="283">
        <v>21743</v>
      </c>
      <c r="J52" s="318">
        <f t="shared" ref="J52" si="20">SUM(K52,L52:T52)</f>
        <v>18000</v>
      </c>
      <c r="K52" s="25">
        <v>18000</v>
      </c>
      <c r="L52" s="283"/>
      <c r="M52" s="283"/>
      <c r="N52" s="283"/>
      <c r="O52" s="283"/>
      <c r="P52" s="283"/>
      <c r="Q52" s="283"/>
      <c r="R52" s="283"/>
      <c r="S52" s="283"/>
      <c r="T52" s="283"/>
      <c r="U52" s="318">
        <f>SUM(V52:Y52)</f>
        <v>15000</v>
      </c>
      <c r="V52" s="25"/>
      <c r="W52" s="283"/>
      <c r="X52" s="53"/>
      <c r="Y52" s="53">
        <v>15000</v>
      </c>
      <c r="Z52" s="400">
        <v>3000</v>
      </c>
      <c r="AA52" s="411"/>
      <c r="AB52" s="341" t="s">
        <v>879</v>
      </c>
      <c r="AC52" s="319"/>
      <c r="AD52" s="394">
        <f t="shared" si="5"/>
        <v>0</v>
      </c>
      <c r="AE52" s="293" t="s">
        <v>290</v>
      </c>
      <c r="AF52" s="293" t="s">
        <v>276</v>
      </c>
      <c r="AG52" s="302">
        <f>J52</f>
        <v>18000</v>
      </c>
      <c r="AH52" s="302"/>
      <c r="AI52" s="302"/>
      <c r="AJ52" s="302"/>
    </row>
    <row r="53" spans="1:36" s="333" customFormat="1" ht="44.25" customHeight="1">
      <c r="A53" s="327" t="s">
        <v>86</v>
      </c>
      <c r="B53" s="328" t="s">
        <v>227</v>
      </c>
      <c r="C53" s="328"/>
      <c r="D53" s="327"/>
      <c r="E53" s="328"/>
      <c r="F53" s="328"/>
      <c r="G53" s="328"/>
      <c r="H53" s="329">
        <f t="shared" ref="H53:Y53" si="21">SUM(H54:H55)</f>
        <v>815633</v>
      </c>
      <c r="I53" s="329">
        <f t="shared" si="21"/>
        <v>815633</v>
      </c>
      <c r="J53" s="329">
        <f t="shared" si="21"/>
        <v>450000</v>
      </c>
      <c r="K53" s="329">
        <f t="shared" si="21"/>
        <v>550000</v>
      </c>
      <c r="L53" s="329">
        <f t="shared" si="21"/>
        <v>0</v>
      </c>
      <c r="M53" s="329">
        <f t="shared" si="21"/>
        <v>0</v>
      </c>
      <c r="N53" s="329">
        <f t="shared" si="21"/>
        <v>0</v>
      </c>
      <c r="O53" s="329">
        <f t="shared" si="21"/>
        <v>0</v>
      </c>
      <c r="P53" s="329">
        <f t="shared" si="21"/>
        <v>0</v>
      </c>
      <c r="Q53" s="329">
        <f t="shared" si="21"/>
        <v>0</v>
      </c>
      <c r="R53" s="329">
        <f t="shared" si="21"/>
        <v>0</v>
      </c>
      <c r="S53" s="329">
        <f t="shared" si="21"/>
        <v>0</v>
      </c>
      <c r="T53" s="329">
        <f t="shared" si="21"/>
        <v>-100000</v>
      </c>
      <c r="U53" s="329">
        <f t="shared" si="21"/>
        <v>152410</v>
      </c>
      <c r="V53" s="329">
        <f t="shared" si="21"/>
        <v>0</v>
      </c>
      <c r="W53" s="329">
        <f t="shared" si="21"/>
        <v>0</v>
      </c>
      <c r="X53" s="329">
        <f t="shared" si="21"/>
        <v>3400</v>
      </c>
      <c r="Y53" s="329">
        <f t="shared" si="21"/>
        <v>149010</v>
      </c>
      <c r="Z53" s="329">
        <f>SUM(Z54:Z55)</f>
        <v>297590</v>
      </c>
      <c r="AA53" s="330"/>
      <c r="AB53" s="330"/>
      <c r="AC53" s="331"/>
      <c r="AD53" s="394">
        <f t="shared" si="5"/>
        <v>0</v>
      </c>
      <c r="AE53" s="332"/>
      <c r="AF53" s="332"/>
    </row>
    <row r="54" spans="1:36" ht="79.5" customHeight="1">
      <c r="A54" s="334">
        <v>1</v>
      </c>
      <c r="B54" s="335" t="s">
        <v>242</v>
      </c>
      <c r="C54" s="338" t="s">
        <v>108</v>
      </c>
      <c r="D54" s="279" t="s">
        <v>21</v>
      </c>
      <c r="E54" s="338" t="s">
        <v>972</v>
      </c>
      <c r="F54" s="338" t="s">
        <v>39</v>
      </c>
      <c r="G54" s="339" t="s">
        <v>973</v>
      </c>
      <c r="H54" s="283">
        <v>463360</v>
      </c>
      <c r="I54" s="283">
        <v>463360</v>
      </c>
      <c r="J54" s="318">
        <f t="shared" ref="J54:J55" si="22">SUM(K54,L54:T54)</f>
        <v>250000</v>
      </c>
      <c r="K54" s="283">
        <v>350000</v>
      </c>
      <c r="L54" s="283"/>
      <c r="M54" s="283"/>
      <c r="N54" s="283"/>
      <c r="O54" s="283"/>
      <c r="P54" s="283"/>
      <c r="Q54" s="283"/>
      <c r="R54" s="283"/>
      <c r="S54" s="283"/>
      <c r="T54" s="283">
        <v>-100000</v>
      </c>
      <c r="U54" s="318">
        <f>SUM(V54:Y54)</f>
        <v>121400</v>
      </c>
      <c r="V54" s="283">
        <v>0</v>
      </c>
      <c r="W54" s="283"/>
      <c r="X54" s="53">
        <v>3400</v>
      </c>
      <c r="Y54" s="340">
        <v>118000</v>
      </c>
      <c r="Z54" s="400">
        <v>128600</v>
      </c>
      <c r="AA54" s="413"/>
      <c r="AB54" s="341" t="s">
        <v>879</v>
      </c>
      <c r="AC54" s="414"/>
      <c r="AD54" s="394">
        <f t="shared" si="5"/>
        <v>0</v>
      </c>
      <c r="AE54" s="293" t="s">
        <v>290</v>
      </c>
      <c r="AF54" s="293" t="s">
        <v>277</v>
      </c>
      <c r="AG54" s="302">
        <f>J54</f>
        <v>250000</v>
      </c>
      <c r="AH54" s="302"/>
      <c r="AI54" s="302"/>
      <c r="AJ54" s="302"/>
    </row>
    <row r="55" spans="1:36" ht="64.5" customHeight="1">
      <c r="A55" s="334">
        <f t="shared" ref="A55" si="23">+A54+1</f>
        <v>2</v>
      </c>
      <c r="B55" s="335" t="s">
        <v>248</v>
      </c>
      <c r="C55" s="338" t="s">
        <v>108</v>
      </c>
      <c r="D55" s="279" t="s">
        <v>21</v>
      </c>
      <c r="E55" s="338" t="s">
        <v>191</v>
      </c>
      <c r="F55" s="338" t="s">
        <v>39</v>
      </c>
      <c r="G55" s="282" t="s">
        <v>615</v>
      </c>
      <c r="H55" s="283">
        <v>352273</v>
      </c>
      <c r="I55" s="283">
        <v>352273</v>
      </c>
      <c r="J55" s="318">
        <f t="shared" si="22"/>
        <v>200000</v>
      </c>
      <c r="K55" s="283">
        <v>200000</v>
      </c>
      <c r="L55" s="283"/>
      <c r="M55" s="283"/>
      <c r="N55" s="283"/>
      <c r="O55" s="283"/>
      <c r="P55" s="283"/>
      <c r="Q55" s="283"/>
      <c r="R55" s="283"/>
      <c r="S55" s="283"/>
      <c r="T55" s="283"/>
      <c r="U55" s="318">
        <f>SUM(V55:Y55)</f>
        <v>31010</v>
      </c>
      <c r="V55" s="283"/>
      <c r="W55" s="283"/>
      <c r="X55" s="53"/>
      <c r="Y55" s="53">
        <v>31010</v>
      </c>
      <c r="Z55" s="400">
        <v>168990</v>
      </c>
      <c r="AA55" s="413"/>
      <c r="AB55" s="341" t="s">
        <v>879</v>
      </c>
      <c r="AC55" s="414"/>
      <c r="AD55" s="394">
        <f t="shared" si="5"/>
        <v>0</v>
      </c>
      <c r="AE55" s="293" t="s">
        <v>290</v>
      </c>
      <c r="AF55" s="293" t="s">
        <v>277</v>
      </c>
      <c r="AG55" s="302">
        <f>J55</f>
        <v>200000</v>
      </c>
      <c r="AH55" s="302"/>
      <c r="AI55" s="302"/>
      <c r="AJ55" s="302"/>
    </row>
    <row r="56" spans="1:36" s="333" customFormat="1" ht="44.25" customHeight="1">
      <c r="A56" s="327" t="s">
        <v>89</v>
      </c>
      <c r="B56" s="328" t="s">
        <v>57</v>
      </c>
      <c r="C56" s="328"/>
      <c r="D56" s="327"/>
      <c r="E56" s="328"/>
      <c r="F56" s="328"/>
      <c r="G56" s="328"/>
      <c r="H56" s="329">
        <f t="shared" ref="H56:Y56" si="24">SUM(H57:H61)</f>
        <v>415805</v>
      </c>
      <c r="I56" s="329">
        <f t="shared" si="24"/>
        <v>198000</v>
      </c>
      <c r="J56" s="329">
        <f>SUM(J57:J61)</f>
        <v>198000</v>
      </c>
      <c r="K56" s="329">
        <f t="shared" si="24"/>
        <v>158000</v>
      </c>
      <c r="L56" s="329">
        <f t="shared" si="24"/>
        <v>0</v>
      </c>
      <c r="M56" s="329">
        <f t="shared" si="24"/>
        <v>0</v>
      </c>
      <c r="N56" s="329">
        <f t="shared" si="24"/>
        <v>0</v>
      </c>
      <c r="O56" s="329">
        <f t="shared" si="24"/>
        <v>0</v>
      </c>
      <c r="P56" s="329">
        <f t="shared" si="24"/>
        <v>0</v>
      </c>
      <c r="Q56" s="329">
        <f t="shared" si="24"/>
        <v>0</v>
      </c>
      <c r="R56" s="329">
        <f t="shared" si="24"/>
        <v>0</v>
      </c>
      <c r="S56" s="329">
        <f t="shared" si="24"/>
        <v>0</v>
      </c>
      <c r="T56" s="329">
        <f t="shared" si="24"/>
        <v>40000</v>
      </c>
      <c r="U56" s="329">
        <f t="shared" si="24"/>
        <v>128400</v>
      </c>
      <c r="V56" s="329">
        <f t="shared" si="24"/>
        <v>0</v>
      </c>
      <c r="W56" s="329">
        <f t="shared" si="24"/>
        <v>0</v>
      </c>
      <c r="X56" s="329">
        <f t="shared" si="24"/>
        <v>25000</v>
      </c>
      <c r="Y56" s="329">
        <f t="shared" si="24"/>
        <v>103400</v>
      </c>
      <c r="Z56" s="329">
        <f>SUM(Z57:Z61)</f>
        <v>69600</v>
      </c>
      <c r="AA56" s="330"/>
      <c r="AB56" s="330"/>
      <c r="AC56" s="331"/>
      <c r="AD56" s="394">
        <f t="shared" si="5"/>
        <v>0</v>
      </c>
      <c r="AE56" s="332"/>
      <c r="AF56" s="332"/>
    </row>
    <row r="57" spans="1:36" ht="68.25" customHeight="1">
      <c r="A57" s="334">
        <v>1</v>
      </c>
      <c r="B57" s="335" t="s">
        <v>382</v>
      </c>
      <c r="C57" s="281" t="s">
        <v>52</v>
      </c>
      <c r="D57" s="279" t="s">
        <v>21</v>
      </c>
      <c r="E57" s="281" t="s">
        <v>54</v>
      </c>
      <c r="F57" s="281" t="s">
        <v>39</v>
      </c>
      <c r="G57" s="282" t="s">
        <v>616</v>
      </c>
      <c r="H57" s="283">
        <v>134345</v>
      </c>
      <c r="I57" s="283">
        <v>74000</v>
      </c>
      <c r="J57" s="318">
        <f t="shared" ref="J57:J60" si="25">SUM(K57,L57:T57)</f>
        <v>74000</v>
      </c>
      <c r="K57" s="283">
        <f>110000-36000</f>
        <v>74000</v>
      </c>
      <c r="L57" s="283"/>
      <c r="M57" s="283"/>
      <c r="N57" s="283"/>
      <c r="O57" s="283"/>
      <c r="P57" s="283"/>
      <c r="Q57" s="283"/>
      <c r="R57" s="283"/>
      <c r="S57" s="283"/>
      <c r="T57" s="283"/>
      <c r="U57" s="318">
        <f>SUM(V57:Y57)</f>
        <v>50000</v>
      </c>
      <c r="V57" s="283"/>
      <c r="W57" s="283"/>
      <c r="X57" s="53">
        <v>15000</v>
      </c>
      <c r="Y57" s="340">
        <v>35000</v>
      </c>
      <c r="Z57" s="400">
        <v>24000</v>
      </c>
      <c r="AA57" s="358"/>
      <c r="AB57" s="341" t="s">
        <v>879</v>
      </c>
      <c r="AD57" s="394">
        <f t="shared" si="5"/>
        <v>0</v>
      </c>
      <c r="AE57" s="293" t="s">
        <v>290</v>
      </c>
      <c r="AF57" s="293" t="s">
        <v>278</v>
      </c>
      <c r="AG57" s="302">
        <f>J57</f>
        <v>74000</v>
      </c>
      <c r="AH57" s="302"/>
      <c r="AI57" s="302"/>
      <c r="AJ57" s="302"/>
    </row>
    <row r="58" spans="1:36" ht="68.25" customHeight="1">
      <c r="A58" s="334">
        <f t="shared" ref="A58:A61" si="26">+A57+1</f>
        <v>2</v>
      </c>
      <c r="B58" s="335" t="s">
        <v>53</v>
      </c>
      <c r="C58" s="281" t="s">
        <v>52</v>
      </c>
      <c r="D58" s="279" t="s">
        <v>21</v>
      </c>
      <c r="E58" s="281" t="s">
        <v>55</v>
      </c>
      <c r="F58" s="281" t="s">
        <v>39</v>
      </c>
      <c r="G58" s="282" t="s">
        <v>617</v>
      </c>
      <c r="H58" s="283">
        <v>95882</v>
      </c>
      <c r="I58" s="283">
        <v>20000</v>
      </c>
      <c r="J58" s="318">
        <f t="shared" si="25"/>
        <v>20000</v>
      </c>
      <c r="K58" s="283">
        <v>20000</v>
      </c>
      <c r="L58" s="283"/>
      <c r="M58" s="283"/>
      <c r="N58" s="283"/>
      <c r="O58" s="283"/>
      <c r="P58" s="283"/>
      <c r="Q58" s="283"/>
      <c r="R58" s="283"/>
      <c r="S58" s="283"/>
      <c r="T58" s="283"/>
      <c r="U58" s="318">
        <f>SUM(V58:Y58)</f>
        <v>5000</v>
      </c>
      <c r="V58" s="283"/>
      <c r="W58" s="283"/>
      <c r="X58" s="53"/>
      <c r="Y58" s="340">
        <v>5000</v>
      </c>
      <c r="Z58" s="400">
        <v>15000</v>
      </c>
      <c r="AA58" s="341" t="s">
        <v>859</v>
      </c>
      <c r="AB58" s="341" t="s">
        <v>879</v>
      </c>
      <c r="AC58" s="350"/>
      <c r="AD58" s="394">
        <f t="shared" si="5"/>
        <v>0</v>
      </c>
      <c r="AE58" s="293" t="s">
        <v>290</v>
      </c>
      <c r="AF58" s="293" t="s">
        <v>278</v>
      </c>
      <c r="AG58" s="302">
        <f>J58</f>
        <v>20000</v>
      </c>
      <c r="AH58" s="302"/>
      <c r="AI58" s="302"/>
      <c r="AJ58" s="302"/>
    </row>
    <row r="59" spans="1:36" ht="68.25" customHeight="1">
      <c r="A59" s="334">
        <f t="shared" si="26"/>
        <v>3</v>
      </c>
      <c r="B59" s="335" t="s">
        <v>50</v>
      </c>
      <c r="C59" s="334" t="s">
        <v>51</v>
      </c>
      <c r="D59" s="279" t="s">
        <v>21</v>
      </c>
      <c r="E59" s="334" t="s">
        <v>353</v>
      </c>
      <c r="F59" s="334" t="s">
        <v>39</v>
      </c>
      <c r="G59" s="371" t="s">
        <v>618</v>
      </c>
      <c r="H59" s="284">
        <v>88333</v>
      </c>
      <c r="I59" s="359">
        <v>30000</v>
      </c>
      <c r="J59" s="318">
        <f t="shared" si="25"/>
        <v>30000</v>
      </c>
      <c r="K59" s="36">
        <v>30000</v>
      </c>
      <c r="L59" s="25"/>
      <c r="M59" s="25"/>
      <c r="N59" s="25"/>
      <c r="O59" s="25"/>
      <c r="P59" s="25"/>
      <c r="Q59" s="25"/>
      <c r="R59" s="25"/>
      <c r="S59" s="25"/>
      <c r="T59" s="25"/>
      <c r="U59" s="318">
        <f>SUM(V59:Y59)</f>
        <v>23000</v>
      </c>
      <c r="V59" s="36"/>
      <c r="W59" s="25"/>
      <c r="X59" s="53"/>
      <c r="Y59" s="340">
        <v>23000</v>
      </c>
      <c r="Z59" s="400">
        <v>7000</v>
      </c>
      <c r="AA59" s="358"/>
      <c r="AB59" s="341" t="s">
        <v>879</v>
      </c>
      <c r="AD59" s="394">
        <f t="shared" si="5"/>
        <v>0</v>
      </c>
      <c r="AE59" s="293" t="s">
        <v>290</v>
      </c>
      <c r="AF59" s="293" t="s">
        <v>278</v>
      </c>
      <c r="AG59" s="302">
        <f>J59</f>
        <v>30000</v>
      </c>
      <c r="AH59" s="302"/>
      <c r="AI59" s="302"/>
      <c r="AJ59" s="302"/>
    </row>
    <row r="60" spans="1:36" ht="68.25" customHeight="1">
      <c r="A60" s="334">
        <f t="shared" si="26"/>
        <v>4</v>
      </c>
      <c r="B60" s="335" t="s">
        <v>449</v>
      </c>
      <c r="C60" s="334" t="s">
        <v>51</v>
      </c>
      <c r="D60" s="334" t="s">
        <v>19</v>
      </c>
      <c r="E60" s="334" t="s">
        <v>450</v>
      </c>
      <c r="F60" s="334" t="s">
        <v>39</v>
      </c>
      <c r="G60" s="371" t="s">
        <v>619</v>
      </c>
      <c r="H60" s="284">
        <v>38457</v>
      </c>
      <c r="I60" s="359">
        <v>34000</v>
      </c>
      <c r="J60" s="318">
        <f t="shared" si="25"/>
        <v>34000</v>
      </c>
      <c r="K60" s="36">
        <v>34000</v>
      </c>
      <c r="L60" s="25"/>
      <c r="M60" s="25"/>
      <c r="N60" s="25"/>
      <c r="O60" s="25"/>
      <c r="P60" s="25"/>
      <c r="Q60" s="25"/>
      <c r="R60" s="25"/>
      <c r="S60" s="25"/>
      <c r="T60" s="25"/>
      <c r="U60" s="318">
        <f>SUM(V60:Y60)</f>
        <v>30400</v>
      </c>
      <c r="V60" s="36"/>
      <c r="W60" s="25"/>
      <c r="X60" s="53">
        <v>10000</v>
      </c>
      <c r="Y60" s="340">
        <v>20400</v>
      </c>
      <c r="Z60" s="400">
        <v>3600</v>
      </c>
      <c r="AA60" s="358"/>
      <c r="AB60" s="341" t="s">
        <v>879</v>
      </c>
      <c r="AD60" s="394">
        <f t="shared" si="5"/>
        <v>0</v>
      </c>
      <c r="AG60" s="302"/>
      <c r="AH60" s="302"/>
      <c r="AI60" s="302"/>
      <c r="AJ60" s="302"/>
    </row>
    <row r="61" spans="1:36" ht="68.25" customHeight="1">
      <c r="A61" s="334">
        <f t="shared" si="26"/>
        <v>5</v>
      </c>
      <c r="B61" s="335" t="s">
        <v>411</v>
      </c>
      <c r="C61" s="415" t="s">
        <v>412</v>
      </c>
      <c r="D61" s="415" t="s">
        <v>21</v>
      </c>
      <c r="E61" s="415" t="s">
        <v>413</v>
      </c>
      <c r="F61" s="415" t="s">
        <v>403</v>
      </c>
      <c r="G61" s="282" t="s">
        <v>620</v>
      </c>
      <c r="H61" s="283">
        <v>58788</v>
      </c>
      <c r="I61" s="283">
        <v>40000</v>
      </c>
      <c r="J61" s="318">
        <f>SUM(K61,L61:T61)</f>
        <v>40000</v>
      </c>
      <c r="K61" s="416"/>
      <c r="L61" s="38"/>
      <c r="M61" s="38"/>
      <c r="N61" s="38"/>
      <c r="O61" s="38"/>
      <c r="P61" s="38"/>
      <c r="Q61" s="38"/>
      <c r="R61" s="38"/>
      <c r="S61" s="38"/>
      <c r="T61" s="38">
        <v>40000</v>
      </c>
      <c r="U61" s="318">
        <f>SUM(V61:Y61)</f>
        <v>20000</v>
      </c>
      <c r="V61" s="416"/>
      <c r="W61" s="25"/>
      <c r="X61" s="53"/>
      <c r="Y61" s="77">
        <v>20000</v>
      </c>
      <c r="Z61" s="417">
        <v>20000</v>
      </c>
      <c r="AA61" s="418"/>
      <c r="AB61" s="341" t="s">
        <v>879</v>
      </c>
      <c r="AC61" s="419"/>
      <c r="AD61" s="394">
        <f t="shared" si="5"/>
        <v>0</v>
      </c>
      <c r="AG61" s="302"/>
      <c r="AH61" s="302"/>
      <c r="AI61" s="302"/>
      <c r="AJ61" s="302"/>
    </row>
    <row r="62" spans="1:36" s="333" customFormat="1" ht="44.25" customHeight="1">
      <c r="A62" s="327" t="s">
        <v>216</v>
      </c>
      <c r="B62" s="328" t="s">
        <v>236</v>
      </c>
      <c r="C62" s="328"/>
      <c r="D62" s="327"/>
      <c r="E62" s="328"/>
      <c r="F62" s="328"/>
      <c r="G62" s="328"/>
      <c r="H62" s="329">
        <f>SUM(H63:H63)</f>
        <v>34343</v>
      </c>
      <c r="I62" s="329">
        <f>SUM(I63:I63)</f>
        <v>34000</v>
      </c>
      <c r="J62" s="311">
        <f>SUM(K62,L62:Q62)</f>
        <v>30000</v>
      </c>
      <c r="K62" s="329">
        <f t="shared" ref="K62:Y62" si="27">SUM(K63:K63)</f>
        <v>30000</v>
      </c>
      <c r="L62" s="329">
        <f t="shared" si="27"/>
        <v>0</v>
      </c>
      <c r="M62" s="329">
        <f t="shared" si="27"/>
        <v>0</v>
      </c>
      <c r="N62" s="329">
        <f t="shared" si="27"/>
        <v>0</v>
      </c>
      <c r="O62" s="329">
        <f t="shared" si="27"/>
        <v>0</v>
      </c>
      <c r="P62" s="329">
        <f t="shared" si="27"/>
        <v>0</v>
      </c>
      <c r="Q62" s="329">
        <f t="shared" si="27"/>
        <v>0</v>
      </c>
      <c r="R62" s="329">
        <f t="shared" si="27"/>
        <v>0</v>
      </c>
      <c r="S62" s="329">
        <f t="shared" si="27"/>
        <v>0</v>
      </c>
      <c r="T62" s="329">
        <f t="shared" si="27"/>
        <v>0</v>
      </c>
      <c r="U62" s="329">
        <f t="shared" si="27"/>
        <v>21912</v>
      </c>
      <c r="V62" s="329">
        <f t="shared" si="27"/>
        <v>0</v>
      </c>
      <c r="W62" s="329">
        <f t="shared" si="27"/>
        <v>5000</v>
      </c>
      <c r="X62" s="329">
        <f t="shared" si="27"/>
        <v>12000</v>
      </c>
      <c r="Y62" s="329">
        <f t="shared" si="27"/>
        <v>4912</v>
      </c>
      <c r="Z62" s="329">
        <f>SUM(Z63:Z63)</f>
        <v>8088</v>
      </c>
      <c r="AA62" s="330"/>
      <c r="AB62" s="330"/>
      <c r="AC62" s="331"/>
      <c r="AD62" s="394">
        <f t="shared" si="5"/>
        <v>0</v>
      </c>
      <c r="AE62" s="332"/>
      <c r="AF62" s="332"/>
    </row>
    <row r="63" spans="1:36" ht="73.5" customHeight="1">
      <c r="A63" s="334">
        <v>1</v>
      </c>
      <c r="B63" s="335" t="s">
        <v>239</v>
      </c>
      <c r="C63" s="338" t="s">
        <v>237</v>
      </c>
      <c r="D63" s="367" t="s">
        <v>19</v>
      </c>
      <c r="E63" s="338" t="s">
        <v>238</v>
      </c>
      <c r="F63" s="338" t="s">
        <v>39</v>
      </c>
      <c r="G63" s="367" t="s">
        <v>621</v>
      </c>
      <c r="H63" s="356">
        <v>34343</v>
      </c>
      <c r="I63" s="283">
        <v>34000</v>
      </c>
      <c r="J63" s="318">
        <f t="shared" ref="J63" si="28">SUM(K63,L63:T63)</f>
        <v>30000</v>
      </c>
      <c r="K63" s="25">
        <v>30000</v>
      </c>
      <c r="L63" s="25"/>
      <c r="M63" s="25"/>
      <c r="N63" s="25"/>
      <c r="O63" s="25"/>
      <c r="P63" s="25"/>
      <c r="Q63" s="25"/>
      <c r="R63" s="25"/>
      <c r="S63" s="25"/>
      <c r="T63" s="25"/>
      <c r="U63" s="318">
        <f>SUM(V63:Y63)</f>
        <v>21912</v>
      </c>
      <c r="V63" s="25"/>
      <c r="W63" s="356">
        <v>5000</v>
      </c>
      <c r="X63" s="53">
        <v>12000</v>
      </c>
      <c r="Y63" s="340">
        <v>4912</v>
      </c>
      <c r="Z63" s="400">
        <v>8088</v>
      </c>
      <c r="AA63" s="158"/>
      <c r="AB63" s="341" t="s">
        <v>879</v>
      </c>
      <c r="AC63" s="243"/>
      <c r="AD63" s="394">
        <f t="shared" si="5"/>
        <v>0</v>
      </c>
      <c r="AE63" s="293" t="s">
        <v>290</v>
      </c>
      <c r="AF63" s="293" t="s">
        <v>279</v>
      </c>
      <c r="AG63" s="302">
        <f>J63</f>
        <v>30000</v>
      </c>
      <c r="AH63" s="302"/>
      <c r="AI63" s="302"/>
      <c r="AJ63" s="302"/>
    </row>
    <row r="64" spans="1:36" s="333" customFormat="1" ht="44.25" customHeight="1">
      <c r="A64" s="327" t="s">
        <v>254</v>
      </c>
      <c r="B64" s="328" t="s">
        <v>190</v>
      </c>
      <c r="C64" s="328"/>
      <c r="D64" s="327"/>
      <c r="E64" s="328"/>
      <c r="F64" s="328"/>
      <c r="G64" s="328"/>
      <c r="H64" s="329">
        <f>SUM(H65:H67)</f>
        <v>123952</v>
      </c>
      <c r="I64" s="329">
        <f t="shared" ref="I64:Y64" si="29">SUM(I65:I67)</f>
        <v>95300</v>
      </c>
      <c r="J64" s="329">
        <f t="shared" si="29"/>
        <v>95000</v>
      </c>
      <c r="K64" s="329">
        <f t="shared" si="29"/>
        <v>0</v>
      </c>
      <c r="L64" s="329">
        <f t="shared" si="29"/>
        <v>0</v>
      </c>
      <c r="M64" s="329">
        <f t="shared" si="29"/>
        <v>74000</v>
      </c>
      <c r="N64" s="329">
        <f t="shared" si="29"/>
        <v>0</v>
      </c>
      <c r="O64" s="329">
        <f t="shared" si="29"/>
        <v>0</v>
      </c>
      <c r="P64" s="329">
        <f t="shared" si="29"/>
        <v>0</v>
      </c>
      <c r="Q64" s="329">
        <f t="shared" si="29"/>
        <v>0</v>
      </c>
      <c r="R64" s="329">
        <f t="shared" si="29"/>
        <v>0</v>
      </c>
      <c r="S64" s="329">
        <f t="shared" si="29"/>
        <v>0</v>
      </c>
      <c r="T64" s="329">
        <f t="shared" si="29"/>
        <v>24000</v>
      </c>
      <c r="U64" s="329">
        <f t="shared" si="29"/>
        <v>63000</v>
      </c>
      <c r="V64" s="329">
        <f t="shared" si="29"/>
        <v>0</v>
      </c>
      <c r="W64" s="329">
        <f t="shared" si="29"/>
        <v>62000</v>
      </c>
      <c r="X64" s="329">
        <f t="shared" si="29"/>
        <v>1000</v>
      </c>
      <c r="Y64" s="329">
        <f t="shared" si="29"/>
        <v>0</v>
      </c>
      <c r="Z64" s="329">
        <f>SUM(Z65:Z67)</f>
        <v>32000</v>
      </c>
      <c r="AA64" s="330"/>
      <c r="AB64" s="330"/>
      <c r="AC64" s="331"/>
      <c r="AD64" s="394">
        <f t="shared" si="5"/>
        <v>0</v>
      </c>
      <c r="AE64" s="332"/>
      <c r="AF64" s="332"/>
    </row>
    <row r="65" spans="1:36" ht="64.5" customHeight="1">
      <c r="A65" s="334">
        <v>1</v>
      </c>
      <c r="B65" s="410" t="s">
        <v>645</v>
      </c>
      <c r="C65" s="338" t="s">
        <v>646</v>
      </c>
      <c r="D65" s="367" t="s">
        <v>21</v>
      </c>
      <c r="E65" s="338" t="s">
        <v>647</v>
      </c>
      <c r="F65" s="338" t="s">
        <v>39</v>
      </c>
      <c r="G65" s="396" t="s">
        <v>648</v>
      </c>
      <c r="H65" s="420">
        <v>71380</v>
      </c>
      <c r="I65" s="283">
        <v>71300</v>
      </c>
      <c r="J65" s="318">
        <f>SUM(K65,L65:T65)-3000</f>
        <v>71000</v>
      </c>
      <c r="K65" s="25">
        <v>0</v>
      </c>
      <c r="L65" s="25"/>
      <c r="M65" s="25">
        <v>74000</v>
      </c>
      <c r="N65" s="25"/>
      <c r="O65" s="25"/>
      <c r="P65" s="25"/>
      <c r="Q65" s="25"/>
      <c r="R65" s="25"/>
      <c r="S65" s="25"/>
      <c r="T65" s="25"/>
      <c r="U65" s="318">
        <f>SUM(V65:Y65)</f>
        <v>63000</v>
      </c>
      <c r="V65" s="25"/>
      <c r="W65" s="22">
        <v>62000</v>
      </c>
      <c r="X65" s="404">
        <v>1000</v>
      </c>
      <c r="Y65" s="340">
        <v>0</v>
      </c>
      <c r="Z65" s="400">
        <v>8000</v>
      </c>
      <c r="AA65" s="158"/>
      <c r="AB65" s="269" t="s">
        <v>909</v>
      </c>
      <c r="AC65" s="263" t="s">
        <v>649</v>
      </c>
      <c r="AD65" s="394">
        <f t="shared" si="5"/>
        <v>0</v>
      </c>
      <c r="AG65" s="302"/>
      <c r="AH65" s="302"/>
      <c r="AI65" s="302"/>
      <c r="AJ65" s="302"/>
    </row>
    <row r="66" spans="1:36" ht="64.5" customHeight="1">
      <c r="A66" s="334">
        <v>2</v>
      </c>
      <c r="B66" s="366" t="s">
        <v>414</v>
      </c>
      <c r="C66" s="338" t="s">
        <v>99</v>
      </c>
      <c r="D66" s="367" t="s">
        <v>19</v>
      </c>
      <c r="E66" s="338" t="s">
        <v>247</v>
      </c>
      <c r="F66" s="338" t="s">
        <v>240</v>
      </c>
      <c r="G66" s="339" t="s">
        <v>814</v>
      </c>
      <c r="H66" s="283">
        <v>26767</v>
      </c>
      <c r="I66" s="283">
        <v>12000</v>
      </c>
      <c r="J66" s="318">
        <f t="shared" ref="J66:J67" si="30">SUM(K66,L66:T66)</f>
        <v>12000</v>
      </c>
      <c r="K66" s="25"/>
      <c r="L66" s="25"/>
      <c r="M66" s="25"/>
      <c r="N66" s="25"/>
      <c r="O66" s="25"/>
      <c r="P66" s="25"/>
      <c r="Q66" s="25"/>
      <c r="R66" s="25"/>
      <c r="S66" s="25"/>
      <c r="T66" s="25">
        <v>12000</v>
      </c>
      <c r="U66" s="318">
        <f>SUM(V66:Y66)</f>
        <v>0</v>
      </c>
      <c r="V66" s="25"/>
      <c r="W66" s="25"/>
      <c r="X66" s="53"/>
      <c r="Y66" s="53"/>
      <c r="Z66" s="400">
        <v>12000</v>
      </c>
      <c r="AA66" s="358"/>
      <c r="AB66" s="341" t="s">
        <v>879</v>
      </c>
      <c r="AD66" s="394">
        <f t="shared" si="5"/>
        <v>0</v>
      </c>
      <c r="AG66" s="302"/>
      <c r="AH66" s="302"/>
      <c r="AI66" s="302"/>
      <c r="AJ66" s="302"/>
    </row>
    <row r="67" spans="1:36" ht="64.5" customHeight="1">
      <c r="A67" s="334">
        <v>3</v>
      </c>
      <c r="B67" s="366" t="s">
        <v>415</v>
      </c>
      <c r="C67" s="338" t="s">
        <v>107</v>
      </c>
      <c r="D67" s="367" t="s">
        <v>19</v>
      </c>
      <c r="E67" s="338" t="s">
        <v>247</v>
      </c>
      <c r="F67" s="338" t="s">
        <v>240</v>
      </c>
      <c r="G67" s="339" t="s">
        <v>815</v>
      </c>
      <c r="H67" s="283">
        <v>25805</v>
      </c>
      <c r="I67" s="283">
        <v>12000</v>
      </c>
      <c r="J67" s="318">
        <f t="shared" si="30"/>
        <v>12000</v>
      </c>
      <c r="K67" s="25"/>
      <c r="L67" s="25"/>
      <c r="M67" s="25"/>
      <c r="N67" s="25"/>
      <c r="O67" s="25"/>
      <c r="P67" s="25"/>
      <c r="Q67" s="25"/>
      <c r="R67" s="25"/>
      <c r="S67" s="25"/>
      <c r="T67" s="25">
        <v>12000</v>
      </c>
      <c r="U67" s="318">
        <f>SUM(V67:Y67)</f>
        <v>0</v>
      </c>
      <c r="V67" s="25"/>
      <c r="W67" s="25"/>
      <c r="X67" s="53"/>
      <c r="Y67" s="53"/>
      <c r="Z67" s="400">
        <v>12000</v>
      </c>
      <c r="AA67" s="358"/>
      <c r="AB67" s="341" t="s">
        <v>879</v>
      </c>
      <c r="AD67" s="394">
        <f t="shared" si="5"/>
        <v>0</v>
      </c>
      <c r="AG67" s="302"/>
      <c r="AH67" s="302"/>
      <c r="AI67" s="302"/>
      <c r="AJ67" s="302"/>
    </row>
    <row r="68" spans="1:36" s="316" customFormat="1" ht="60" customHeight="1">
      <c r="A68" s="443" t="s">
        <v>250</v>
      </c>
      <c r="B68" s="310" t="s">
        <v>66</v>
      </c>
      <c r="C68" s="443"/>
      <c r="D68" s="443"/>
      <c r="E68" s="443"/>
      <c r="F68" s="443"/>
      <c r="G68" s="443"/>
      <c r="H68" s="311">
        <f t="shared" ref="H68:Z68" si="31">SUM(H69,H72)</f>
        <v>151395</v>
      </c>
      <c r="I68" s="311">
        <f t="shared" si="31"/>
        <v>120900</v>
      </c>
      <c r="J68" s="311">
        <f t="shared" si="31"/>
        <v>84413</v>
      </c>
      <c r="K68" s="311">
        <f t="shared" si="31"/>
        <v>10500</v>
      </c>
      <c r="L68" s="311">
        <f t="shared" si="31"/>
        <v>0</v>
      </c>
      <c r="M68" s="311">
        <f t="shared" si="31"/>
        <v>0</v>
      </c>
      <c r="N68" s="311">
        <f t="shared" si="31"/>
        <v>0</v>
      </c>
      <c r="O68" s="311">
        <f t="shared" si="31"/>
        <v>0</v>
      </c>
      <c r="P68" s="311">
        <f t="shared" si="31"/>
        <v>0</v>
      </c>
      <c r="Q68" s="311">
        <f t="shared" si="31"/>
        <v>0</v>
      </c>
      <c r="R68" s="311">
        <f t="shared" si="31"/>
        <v>0</v>
      </c>
      <c r="S68" s="311">
        <f t="shared" si="31"/>
        <v>0</v>
      </c>
      <c r="T68" s="311">
        <f t="shared" si="31"/>
        <v>73913</v>
      </c>
      <c r="U68" s="311">
        <f t="shared" si="31"/>
        <v>0</v>
      </c>
      <c r="V68" s="311">
        <f t="shared" si="31"/>
        <v>0</v>
      </c>
      <c r="W68" s="311">
        <f t="shared" si="31"/>
        <v>0</v>
      </c>
      <c r="X68" s="311">
        <f t="shared" si="31"/>
        <v>0</v>
      </c>
      <c r="Y68" s="311">
        <f t="shared" si="31"/>
        <v>0</v>
      </c>
      <c r="Z68" s="311">
        <f t="shared" si="31"/>
        <v>83913</v>
      </c>
      <c r="AA68" s="20"/>
      <c r="AB68" s="20"/>
      <c r="AC68" s="240"/>
      <c r="AD68" s="394"/>
      <c r="AE68" s="298"/>
      <c r="AF68" s="298"/>
    </row>
    <row r="69" spans="1:36" s="333" customFormat="1" ht="44.25" customHeight="1">
      <c r="A69" s="327" t="s">
        <v>16</v>
      </c>
      <c r="B69" s="328" t="s">
        <v>56</v>
      </c>
      <c r="C69" s="328"/>
      <c r="D69" s="327"/>
      <c r="E69" s="328"/>
      <c r="F69" s="328"/>
      <c r="G69" s="328"/>
      <c r="H69" s="329">
        <f>SUM(H70:H71)</f>
        <v>142662</v>
      </c>
      <c r="I69" s="329">
        <f t="shared" ref="I69:Y69" si="32">SUM(I70:I71)</f>
        <v>112300</v>
      </c>
      <c r="J69" s="329">
        <f t="shared" si="32"/>
        <v>76213</v>
      </c>
      <c r="K69" s="329">
        <f t="shared" si="32"/>
        <v>2300</v>
      </c>
      <c r="L69" s="329">
        <f t="shared" si="32"/>
        <v>0</v>
      </c>
      <c r="M69" s="329">
        <f t="shared" si="32"/>
        <v>0</v>
      </c>
      <c r="N69" s="329">
        <f t="shared" si="32"/>
        <v>0</v>
      </c>
      <c r="O69" s="329">
        <f t="shared" si="32"/>
        <v>0</v>
      </c>
      <c r="P69" s="329">
        <f t="shared" si="32"/>
        <v>0</v>
      </c>
      <c r="Q69" s="329">
        <f t="shared" si="32"/>
        <v>0</v>
      </c>
      <c r="R69" s="329">
        <f t="shared" si="32"/>
        <v>0</v>
      </c>
      <c r="S69" s="329">
        <f t="shared" si="32"/>
        <v>0</v>
      </c>
      <c r="T69" s="329">
        <f t="shared" si="32"/>
        <v>73913</v>
      </c>
      <c r="U69" s="329">
        <f t="shared" si="32"/>
        <v>0</v>
      </c>
      <c r="V69" s="329">
        <f t="shared" si="32"/>
        <v>0</v>
      </c>
      <c r="W69" s="329">
        <f t="shared" si="32"/>
        <v>0</v>
      </c>
      <c r="X69" s="329">
        <f t="shared" si="32"/>
        <v>0</v>
      </c>
      <c r="Y69" s="329">
        <f t="shared" si="32"/>
        <v>0</v>
      </c>
      <c r="Z69" s="329">
        <f>SUM(Z70:Z71)</f>
        <v>76213</v>
      </c>
      <c r="AA69" s="330"/>
      <c r="AB69" s="330"/>
      <c r="AC69" s="331"/>
      <c r="AD69" s="394"/>
      <c r="AE69" s="332"/>
      <c r="AF69" s="332"/>
    </row>
    <row r="70" spans="1:36" ht="61.5" customHeight="1">
      <c r="A70" s="334">
        <v>1</v>
      </c>
      <c r="B70" s="335" t="s">
        <v>302</v>
      </c>
      <c r="C70" s="338" t="s">
        <v>303</v>
      </c>
      <c r="D70" s="367" t="s">
        <v>19</v>
      </c>
      <c r="E70" s="338" t="s">
        <v>304</v>
      </c>
      <c r="F70" s="338" t="s">
        <v>563</v>
      </c>
      <c r="G70" s="339" t="s">
        <v>739</v>
      </c>
      <c r="H70" s="283">
        <v>2883</v>
      </c>
      <c r="I70" s="283">
        <v>2300</v>
      </c>
      <c r="J70" s="318">
        <f t="shared" ref="J70:J71" si="33">SUM(K70,L70:T70)</f>
        <v>2300</v>
      </c>
      <c r="K70" s="283">
        <v>2300</v>
      </c>
      <c r="L70" s="283"/>
      <c r="M70" s="283"/>
      <c r="N70" s="283"/>
      <c r="O70" s="283"/>
      <c r="P70" s="283"/>
      <c r="Q70" s="283"/>
      <c r="R70" s="283"/>
      <c r="S70" s="283"/>
      <c r="T70" s="283"/>
      <c r="U70" s="318">
        <f>SUM(V70:Y70)</f>
        <v>0</v>
      </c>
      <c r="V70" s="25"/>
      <c r="W70" s="283"/>
      <c r="X70" s="53"/>
      <c r="Y70" s="53"/>
      <c r="Z70" s="400">
        <v>2300</v>
      </c>
      <c r="AA70" s="280"/>
      <c r="AB70" s="341" t="s">
        <v>879</v>
      </c>
      <c r="AC70" s="300"/>
      <c r="AD70" s="394">
        <f t="shared" si="5"/>
        <v>0</v>
      </c>
      <c r="AE70" s="293" t="s">
        <v>290</v>
      </c>
      <c r="AF70" s="293" t="s">
        <v>291</v>
      </c>
      <c r="AG70" s="302">
        <f>J70</f>
        <v>2300</v>
      </c>
      <c r="AH70" s="302" t="s">
        <v>378</v>
      </c>
      <c r="AI70" s="302"/>
      <c r="AJ70" s="302"/>
    </row>
    <row r="71" spans="1:36" ht="67.5" customHeight="1">
      <c r="A71" s="334">
        <f>+A70+1</f>
        <v>2</v>
      </c>
      <c r="B71" s="335" t="s">
        <v>811</v>
      </c>
      <c r="C71" s="281" t="s">
        <v>90</v>
      </c>
      <c r="D71" s="337" t="s">
        <v>21</v>
      </c>
      <c r="E71" s="281" t="s">
        <v>410</v>
      </c>
      <c r="F71" s="281" t="s">
        <v>403</v>
      </c>
      <c r="G71" s="339" t="s">
        <v>740</v>
      </c>
      <c r="H71" s="283">
        <v>139779</v>
      </c>
      <c r="I71" s="283">
        <v>110000</v>
      </c>
      <c r="J71" s="318">
        <f t="shared" si="33"/>
        <v>73913</v>
      </c>
      <c r="K71" s="283"/>
      <c r="L71" s="283"/>
      <c r="M71" s="283"/>
      <c r="N71" s="283"/>
      <c r="O71" s="283"/>
      <c r="P71" s="283"/>
      <c r="Q71" s="283"/>
      <c r="R71" s="283"/>
      <c r="S71" s="283"/>
      <c r="T71" s="283">
        <v>73913</v>
      </c>
      <c r="U71" s="318">
        <f>SUM(V71:Y71)</f>
        <v>0</v>
      </c>
      <c r="V71" s="283"/>
      <c r="W71" s="23"/>
      <c r="X71" s="53"/>
      <c r="Y71" s="53"/>
      <c r="Z71" s="400">
        <v>73913</v>
      </c>
      <c r="AA71" s="280"/>
      <c r="AB71" s="341" t="s">
        <v>879</v>
      </c>
      <c r="AC71" s="300"/>
      <c r="AD71" s="394">
        <f t="shared" si="5"/>
        <v>0</v>
      </c>
      <c r="AG71" s="302"/>
      <c r="AH71" s="302"/>
      <c r="AI71" s="302"/>
      <c r="AJ71" s="302"/>
    </row>
    <row r="72" spans="1:36" s="333" customFormat="1" ht="56.25" customHeight="1">
      <c r="A72" s="327" t="s">
        <v>24</v>
      </c>
      <c r="B72" s="328" t="s">
        <v>187</v>
      </c>
      <c r="C72" s="328"/>
      <c r="D72" s="327"/>
      <c r="E72" s="328"/>
      <c r="F72" s="328"/>
      <c r="G72" s="328"/>
      <c r="H72" s="329">
        <f>SUM(H73:H75)</f>
        <v>8733</v>
      </c>
      <c r="I72" s="329">
        <f t="shared" ref="I72:Z72" si="34">SUM(I73:I75)</f>
        <v>8600</v>
      </c>
      <c r="J72" s="329">
        <f t="shared" si="34"/>
        <v>8200</v>
      </c>
      <c r="K72" s="329">
        <f t="shared" si="34"/>
        <v>8200</v>
      </c>
      <c r="L72" s="329">
        <f t="shared" si="34"/>
        <v>0</v>
      </c>
      <c r="M72" s="329">
        <f t="shared" si="34"/>
        <v>0</v>
      </c>
      <c r="N72" s="329">
        <f t="shared" si="34"/>
        <v>0</v>
      </c>
      <c r="O72" s="329">
        <f t="shared" si="34"/>
        <v>0</v>
      </c>
      <c r="P72" s="329">
        <f t="shared" si="34"/>
        <v>0</v>
      </c>
      <c r="Q72" s="329">
        <f t="shared" si="34"/>
        <v>0</v>
      </c>
      <c r="R72" s="329">
        <f t="shared" si="34"/>
        <v>0</v>
      </c>
      <c r="S72" s="329">
        <f t="shared" si="34"/>
        <v>0</v>
      </c>
      <c r="T72" s="329">
        <f t="shared" si="34"/>
        <v>0</v>
      </c>
      <c r="U72" s="329">
        <f t="shared" si="34"/>
        <v>0</v>
      </c>
      <c r="V72" s="329">
        <f t="shared" si="34"/>
        <v>0</v>
      </c>
      <c r="W72" s="329">
        <f t="shared" si="34"/>
        <v>0</v>
      </c>
      <c r="X72" s="329">
        <f t="shared" si="34"/>
        <v>0</v>
      </c>
      <c r="Y72" s="329">
        <f t="shared" si="34"/>
        <v>0</v>
      </c>
      <c r="Z72" s="329">
        <f t="shared" si="34"/>
        <v>7700</v>
      </c>
      <c r="AA72" s="330"/>
      <c r="AB72" s="330"/>
      <c r="AC72" s="331"/>
      <c r="AD72" s="394">
        <f t="shared" ref="AD72:AD96" si="35">J72-U72-Z72</f>
        <v>500</v>
      </c>
      <c r="AE72" s="332"/>
      <c r="AF72" s="332"/>
    </row>
    <row r="73" spans="1:36" ht="58.5" customHeight="1">
      <c r="A73" s="334">
        <v>1</v>
      </c>
      <c r="B73" s="335" t="s">
        <v>179</v>
      </c>
      <c r="C73" s="281" t="s">
        <v>92</v>
      </c>
      <c r="D73" s="421" t="s">
        <v>19</v>
      </c>
      <c r="E73" s="281" t="s">
        <v>180</v>
      </c>
      <c r="F73" s="281" t="s">
        <v>563</v>
      </c>
      <c r="G73" s="282" t="s">
        <v>741</v>
      </c>
      <c r="H73" s="283">
        <v>2931</v>
      </c>
      <c r="I73" s="283">
        <v>2900</v>
      </c>
      <c r="J73" s="318">
        <f t="shared" ref="J73:J74" si="36">SUM(K73,L73:T73)</f>
        <v>2500</v>
      </c>
      <c r="K73" s="25">
        <v>2500</v>
      </c>
      <c r="L73" s="25"/>
      <c r="M73" s="25"/>
      <c r="N73" s="25"/>
      <c r="O73" s="25"/>
      <c r="P73" s="25"/>
      <c r="Q73" s="25"/>
      <c r="R73" s="25"/>
      <c r="S73" s="25"/>
      <c r="T73" s="25"/>
      <c r="U73" s="318">
        <f>SUM(V73:Y73)</f>
        <v>0</v>
      </c>
      <c r="V73" s="24"/>
      <c r="W73" s="25"/>
      <c r="X73" s="53"/>
      <c r="Y73" s="53"/>
      <c r="Z73" s="400">
        <v>2500</v>
      </c>
      <c r="AA73" s="422"/>
      <c r="AB73" s="341" t="s">
        <v>879</v>
      </c>
      <c r="AC73" s="423"/>
      <c r="AD73" s="394">
        <f t="shared" si="35"/>
        <v>0</v>
      </c>
      <c r="AE73" s="293" t="s">
        <v>290</v>
      </c>
      <c r="AF73" s="293" t="s">
        <v>281</v>
      </c>
      <c r="AG73" s="302">
        <f>J73</f>
        <v>2500</v>
      </c>
      <c r="AH73" s="302"/>
      <c r="AI73" s="302"/>
      <c r="AJ73" s="302"/>
    </row>
    <row r="74" spans="1:36" ht="58.5" customHeight="1">
      <c r="A74" s="334">
        <v>2</v>
      </c>
      <c r="B74" s="335" t="s">
        <v>183</v>
      </c>
      <c r="C74" s="281" t="s">
        <v>184</v>
      </c>
      <c r="D74" s="421" t="s">
        <v>19</v>
      </c>
      <c r="E74" s="281" t="s">
        <v>185</v>
      </c>
      <c r="F74" s="281" t="s">
        <v>563</v>
      </c>
      <c r="G74" s="282" t="s">
        <v>812</v>
      </c>
      <c r="H74" s="283">
        <v>3102</v>
      </c>
      <c r="I74" s="283">
        <v>3000</v>
      </c>
      <c r="J74" s="318">
        <f t="shared" si="36"/>
        <v>3000</v>
      </c>
      <c r="K74" s="283">
        <v>3000</v>
      </c>
      <c r="L74" s="283"/>
      <c r="M74" s="283"/>
      <c r="N74" s="283"/>
      <c r="O74" s="283"/>
      <c r="P74" s="283"/>
      <c r="Q74" s="283"/>
      <c r="R74" s="283"/>
      <c r="S74" s="283"/>
      <c r="T74" s="283"/>
      <c r="U74" s="318">
        <f>SUM(V74:Y74)</f>
        <v>0</v>
      </c>
      <c r="V74" s="283"/>
      <c r="W74" s="283"/>
      <c r="X74" s="53"/>
      <c r="Y74" s="53"/>
      <c r="Z74" s="400">
        <v>3000</v>
      </c>
      <c r="AA74" s="422"/>
      <c r="AB74" s="341" t="s">
        <v>879</v>
      </c>
      <c r="AC74" s="423"/>
      <c r="AD74" s="394">
        <f t="shared" si="35"/>
        <v>0</v>
      </c>
      <c r="AE74" s="293" t="s">
        <v>290</v>
      </c>
      <c r="AF74" s="293" t="s">
        <v>281</v>
      </c>
      <c r="AG74" s="302">
        <f>J74</f>
        <v>3000</v>
      </c>
      <c r="AH74" s="302"/>
      <c r="AI74" s="302"/>
      <c r="AJ74" s="302"/>
    </row>
    <row r="75" spans="1:36" ht="69.900000000000006" customHeight="1">
      <c r="A75" s="334">
        <v>3</v>
      </c>
      <c r="B75" s="335" t="s">
        <v>181</v>
      </c>
      <c r="C75" s="281" t="s">
        <v>98</v>
      </c>
      <c r="D75" s="421" t="s">
        <v>19</v>
      </c>
      <c r="E75" s="281" t="s">
        <v>182</v>
      </c>
      <c r="F75" s="281" t="s">
        <v>39</v>
      </c>
      <c r="G75" s="282" t="s">
        <v>996</v>
      </c>
      <c r="H75" s="283">
        <v>2700</v>
      </c>
      <c r="I75" s="283">
        <v>2700</v>
      </c>
      <c r="J75" s="318">
        <f t="shared" ref="J75" si="37">SUM(K75,L75:T75)</f>
        <v>2700</v>
      </c>
      <c r="K75" s="283">
        <v>2700</v>
      </c>
      <c r="L75" s="283"/>
      <c r="M75" s="283"/>
      <c r="N75" s="283"/>
      <c r="O75" s="283"/>
      <c r="P75" s="283"/>
      <c r="Q75" s="283"/>
      <c r="R75" s="283"/>
      <c r="S75" s="283"/>
      <c r="T75" s="283"/>
      <c r="U75" s="318">
        <f>SUM(V75:Y75)</f>
        <v>0</v>
      </c>
      <c r="V75" s="283"/>
      <c r="W75" s="283"/>
      <c r="X75" s="53"/>
      <c r="Y75" s="53"/>
      <c r="Z75" s="400">
        <v>2200</v>
      </c>
      <c r="AA75" s="422"/>
      <c r="AB75" s="448" t="s">
        <v>880</v>
      </c>
      <c r="AC75" s="423">
        <v>500</v>
      </c>
      <c r="AD75" s="394"/>
      <c r="AE75" s="293" t="s">
        <v>290</v>
      </c>
      <c r="AF75" s="293" t="s">
        <v>281</v>
      </c>
      <c r="AG75" s="302">
        <f>J75</f>
        <v>2700</v>
      </c>
      <c r="AH75" s="302"/>
      <c r="AI75" s="302"/>
      <c r="AJ75" s="302"/>
    </row>
    <row r="76" spans="1:36" s="316" customFormat="1" ht="78" customHeight="1">
      <c r="A76" s="450" t="s">
        <v>980</v>
      </c>
      <c r="B76" s="310" t="s">
        <v>817</v>
      </c>
      <c r="C76" s="450"/>
      <c r="D76" s="450"/>
      <c r="E76" s="450"/>
      <c r="F76" s="450"/>
      <c r="G76" s="450"/>
      <c r="H76" s="311">
        <f>SUM(H77)</f>
        <v>0</v>
      </c>
      <c r="I76" s="311">
        <f t="shared" ref="I76:Y76" si="38">SUM(I77)</f>
        <v>0</v>
      </c>
      <c r="J76" s="311">
        <f t="shared" si="38"/>
        <v>80527</v>
      </c>
      <c r="K76" s="311">
        <f t="shared" si="38"/>
        <v>0</v>
      </c>
      <c r="L76" s="311">
        <f t="shared" si="38"/>
        <v>0</v>
      </c>
      <c r="M76" s="311">
        <f t="shared" si="38"/>
        <v>0</v>
      </c>
      <c r="N76" s="311">
        <f t="shared" si="38"/>
        <v>0</v>
      </c>
      <c r="O76" s="311">
        <f t="shared" si="38"/>
        <v>0</v>
      </c>
      <c r="P76" s="311">
        <f t="shared" si="38"/>
        <v>0</v>
      </c>
      <c r="Q76" s="311">
        <f t="shared" si="38"/>
        <v>0</v>
      </c>
      <c r="R76" s="311">
        <f t="shared" si="38"/>
        <v>0</v>
      </c>
      <c r="S76" s="311">
        <f t="shared" si="38"/>
        <v>0</v>
      </c>
      <c r="T76" s="311">
        <f t="shared" si="38"/>
        <v>0</v>
      </c>
      <c r="U76" s="311">
        <f t="shared" si="38"/>
        <v>0</v>
      </c>
      <c r="V76" s="311">
        <f t="shared" si="38"/>
        <v>0</v>
      </c>
      <c r="W76" s="311">
        <f t="shared" si="38"/>
        <v>0</v>
      </c>
      <c r="X76" s="311">
        <f t="shared" si="38"/>
        <v>0</v>
      </c>
      <c r="Y76" s="311">
        <f t="shared" si="38"/>
        <v>0</v>
      </c>
      <c r="Z76" s="311">
        <f>J76</f>
        <v>80527</v>
      </c>
      <c r="AA76" s="1" t="s">
        <v>818</v>
      </c>
      <c r="AB76" s="264" t="s">
        <v>981</v>
      </c>
      <c r="AC76" s="244"/>
      <c r="AD76" s="394"/>
      <c r="AE76" s="298"/>
      <c r="AF76" s="298"/>
    </row>
    <row r="77" spans="1:36" s="333" customFormat="1" ht="44.25" customHeight="1">
      <c r="A77" s="327" t="s">
        <v>16</v>
      </c>
      <c r="B77" s="328" t="s">
        <v>56</v>
      </c>
      <c r="C77" s="328"/>
      <c r="D77" s="327"/>
      <c r="E77" s="328"/>
      <c r="F77" s="328"/>
      <c r="G77" s="328"/>
      <c r="H77" s="329">
        <f>SUM(H78:H80)</f>
        <v>0</v>
      </c>
      <c r="I77" s="329">
        <f>SUM(I78:I80)</f>
        <v>0</v>
      </c>
      <c r="J77" s="329">
        <f t="shared" ref="J77:Y77" si="39">SUM(J78:J80)</f>
        <v>80527</v>
      </c>
      <c r="K77" s="329">
        <f t="shared" si="39"/>
        <v>0</v>
      </c>
      <c r="L77" s="329">
        <f t="shared" si="39"/>
        <v>0</v>
      </c>
      <c r="M77" s="329">
        <f t="shared" si="39"/>
        <v>0</v>
      </c>
      <c r="N77" s="329">
        <f t="shared" si="39"/>
        <v>0</v>
      </c>
      <c r="O77" s="329">
        <f t="shared" si="39"/>
        <v>0</v>
      </c>
      <c r="P77" s="329">
        <f t="shared" si="39"/>
        <v>0</v>
      </c>
      <c r="Q77" s="329">
        <f t="shared" si="39"/>
        <v>0</v>
      </c>
      <c r="R77" s="329">
        <f t="shared" si="39"/>
        <v>0</v>
      </c>
      <c r="S77" s="329">
        <f t="shared" si="39"/>
        <v>0</v>
      </c>
      <c r="T77" s="329">
        <f t="shared" si="39"/>
        <v>0</v>
      </c>
      <c r="U77" s="329">
        <f t="shared" si="39"/>
        <v>0</v>
      </c>
      <c r="V77" s="329">
        <f t="shared" si="39"/>
        <v>0</v>
      </c>
      <c r="W77" s="329">
        <f t="shared" si="39"/>
        <v>0</v>
      </c>
      <c r="X77" s="329">
        <f t="shared" si="39"/>
        <v>0</v>
      </c>
      <c r="Y77" s="329">
        <f t="shared" si="39"/>
        <v>0</v>
      </c>
      <c r="Z77" s="329"/>
      <c r="AA77" s="330"/>
      <c r="AB77" s="329"/>
      <c r="AC77" s="331"/>
      <c r="AD77" s="394"/>
      <c r="AE77" s="332"/>
      <c r="AF77" s="332"/>
    </row>
    <row r="78" spans="1:36" ht="66" customHeight="1">
      <c r="A78" s="334">
        <v>1</v>
      </c>
      <c r="B78" s="335" t="s">
        <v>982</v>
      </c>
      <c r="C78" s="281" t="s">
        <v>983</v>
      </c>
      <c r="D78" s="337" t="s">
        <v>21</v>
      </c>
      <c r="E78" s="281" t="s">
        <v>984</v>
      </c>
      <c r="F78" s="281" t="s">
        <v>985</v>
      </c>
      <c r="G78" s="334"/>
      <c r="H78" s="283"/>
      <c r="I78" s="283"/>
      <c r="J78" s="318">
        <v>20000</v>
      </c>
      <c r="K78" s="25"/>
      <c r="L78" s="283"/>
      <c r="M78" s="283"/>
      <c r="N78" s="283"/>
      <c r="O78" s="283"/>
      <c r="P78" s="283"/>
      <c r="Q78" s="283"/>
      <c r="R78" s="283"/>
      <c r="S78" s="283"/>
      <c r="T78" s="283"/>
      <c r="U78" s="318"/>
      <c r="V78" s="25"/>
      <c r="W78" s="283"/>
      <c r="X78" s="283"/>
      <c r="Y78" s="340"/>
      <c r="Z78" s="400"/>
      <c r="AA78" s="341" t="s">
        <v>692</v>
      </c>
      <c r="AB78" s="400">
        <v>20000</v>
      </c>
      <c r="AC78" s="350"/>
      <c r="AD78" s="394"/>
      <c r="AF78" s="302"/>
      <c r="AG78" s="302"/>
      <c r="AH78" s="302"/>
      <c r="AI78" s="302"/>
    </row>
    <row r="79" spans="1:36" ht="66" customHeight="1">
      <c r="A79" s="334">
        <f t="shared" ref="A79" si="40">+A78+1</f>
        <v>2</v>
      </c>
      <c r="B79" s="335" t="s">
        <v>986</v>
      </c>
      <c r="C79" s="281" t="s">
        <v>987</v>
      </c>
      <c r="D79" s="337" t="s">
        <v>77</v>
      </c>
      <c r="E79" s="281" t="s">
        <v>988</v>
      </c>
      <c r="F79" s="281" t="s">
        <v>985</v>
      </c>
      <c r="G79" s="339"/>
      <c r="H79" s="283"/>
      <c r="I79" s="283"/>
      <c r="J79" s="318">
        <v>31000</v>
      </c>
      <c r="K79" s="283"/>
      <c r="L79" s="283"/>
      <c r="M79" s="283"/>
      <c r="N79" s="283"/>
      <c r="O79" s="283"/>
      <c r="P79" s="283"/>
      <c r="Q79" s="283"/>
      <c r="R79" s="283"/>
      <c r="S79" s="283"/>
      <c r="T79" s="283"/>
      <c r="U79" s="318"/>
      <c r="V79" s="283"/>
      <c r="W79" s="23"/>
      <c r="X79" s="53"/>
      <c r="Y79" s="53"/>
      <c r="Z79" s="400"/>
      <c r="AA79" s="341" t="s">
        <v>989</v>
      </c>
      <c r="AB79" s="400">
        <v>31000</v>
      </c>
      <c r="AC79" s="350"/>
      <c r="AD79" s="394"/>
      <c r="AG79" s="302"/>
      <c r="AH79" s="302"/>
      <c r="AI79" s="302"/>
      <c r="AJ79" s="302"/>
    </row>
    <row r="80" spans="1:36" ht="84" customHeight="1">
      <c r="A80" s="334">
        <f>+A71+1</f>
        <v>3</v>
      </c>
      <c r="B80" s="335" t="s">
        <v>234</v>
      </c>
      <c r="C80" s="281" t="s">
        <v>52</v>
      </c>
      <c r="D80" s="337" t="s">
        <v>21</v>
      </c>
      <c r="E80" s="281" t="s">
        <v>44</v>
      </c>
      <c r="F80" s="281" t="s">
        <v>39</v>
      </c>
      <c r="G80" s="339"/>
      <c r="H80" s="283"/>
      <c r="I80" s="283"/>
      <c r="J80" s="318">
        <v>29527</v>
      </c>
      <c r="K80" s="283"/>
      <c r="L80" s="283"/>
      <c r="M80" s="283"/>
      <c r="N80" s="283"/>
      <c r="O80" s="283"/>
      <c r="P80" s="283"/>
      <c r="Q80" s="283"/>
      <c r="R80" s="283"/>
      <c r="S80" s="283"/>
      <c r="T80" s="283"/>
      <c r="U80" s="318"/>
      <c r="V80" s="283"/>
      <c r="W80" s="23"/>
      <c r="X80" s="53"/>
      <c r="Y80" s="53"/>
      <c r="Z80" s="400"/>
      <c r="AA80" s="341" t="s">
        <v>942</v>
      </c>
      <c r="AB80" s="400">
        <f>65000-39773+4300</f>
        <v>29527</v>
      </c>
      <c r="AC80" s="350"/>
      <c r="AD80" s="394"/>
      <c r="AG80" s="302"/>
      <c r="AH80" s="302"/>
      <c r="AI80" s="302"/>
      <c r="AJ80" s="302"/>
    </row>
    <row r="81" spans="1:32" s="316" customFormat="1" ht="61.5" customHeight="1">
      <c r="A81" s="443" t="s">
        <v>83</v>
      </c>
      <c r="B81" s="310" t="s">
        <v>251</v>
      </c>
      <c r="C81" s="443"/>
      <c r="D81" s="443"/>
      <c r="E81" s="443"/>
      <c r="F81" s="443"/>
      <c r="G81" s="443"/>
      <c r="H81" s="311"/>
      <c r="I81" s="311"/>
      <c r="J81" s="311">
        <f>SUM(J82)</f>
        <v>90000</v>
      </c>
      <c r="K81" s="311">
        <f>SUM(K82)</f>
        <v>70000</v>
      </c>
      <c r="L81" s="311"/>
      <c r="M81" s="311"/>
      <c r="N81" s="311"/>
      <c r="O81" s="311"/>
      <c r="P81" s="311"/>
      <c r="Q81" s="311"/>
      <c r="R81" s="311"/>
      <c r="S81" s="311"/>
      <c r="T81" s="311"/>
      <c r="U81" s="311">
        <f t="shared" ref="U81:Z81" si="41">SUM(U82)</f>
        <v>65500</v>
      </c>
      <c r="V81" s="311">
        <f t="shared" si="41"/>
        <v>15500</v>
      </c>
      <c r="W81" s="311">
        <f t="shared" si="41"/>
        <v>10000</v>
      </c>
      <c r="X81" s="311">
        <f t="shared" si="41"/>
        <v>20000</v>
      </c>
      <c r="Y81" s="311">
        <f t="shared" si="41"/>
        <v>20000</v>
      </c>
      <c r="Z81" s="311">
        <f t="shared" si="41"/>
        <v>24500</v>
      </c>
      <c r="AA81" s="34"/>
      <c r="AB81" s="270"/>
      <c r="AC81" s="265" t="s">
        <v>692</v>
      </c>
      <c r="AD81" s="394">
        <f t="shared" si="35"/>
        <v>0</v>
      </c>
      <c r="AE81" s="298"/>
      <c r="AF81" s="298"/>
    </row>
    <row r="82" spans="1:32" s="316" customFormat="1" ht="78.900000000000006" customHeight="1">
      <c r="A82" s="443" t="s">
        <v>84</v>
      </c>
      <c r="B82" s="310" t="s">
        <v>934</v>
      </c>
      <c r="C82" s="443"/>
      <c r="D82" s="443"/>
      <c r="E82" s="443"/>
      <c r="F82" s="443"/>
      <c r="G82" s="443"/>
      <c r="H82" s="311"/>
      <c r="I82" s="311"/>
      <c r="J82" s="323">
        <f>SUM(K82,L82:S82)+20000</f>
        <v>90000</v>
      </c>
      <c r="K82" s="311">
        <v>70000</v>
      </c>
      <c r="L82" s="311"/>
      <c r="M82" s="311"/>
      <c r="N82" s="311"/>
      <c r="O82" s="311"/>
      <c r="P82" s="311"/>
      <c r="Q82" s="311"/>
      <c r="R82" s="311"/>
      <c r="S82" s="311"/>
      <c r="T82" s="311"/>
      <c r="U82" s="311">
        <f>SUM(V82:Y82)</f>
        <v>65500</v>
      </c>
      <c r="V82" s="311">
        <v>15500</v>
      </c>
      <c r="W82" s="311">
        <v>10000</v>
      </c>
      <c r="X82" s="52">
        <v>20000</v>
      </c>
      <c r="Y82" s="52">
        <v>20000</v>
      </c>
      <c r="Z82" s="324">
        <v>24500</v>
      </c>
      <c r="AA82" s="1" t="s">
        <v>253</v>
      </c>
      <c r="AB82" s="270" t="s">
        <v>931</v>
      </c>
      <c r="AC82" s="244"/>
      <c r="AD82" s="394">
        <f t="shared" si="35"/>
        <v>0</v>
      </c>
      <c r="AE82" s="298"/>
      <c r="AF82" s="298"/>
    </row>
    <row r="83" spans="1:32" s="316" customFormat="1" ht="77.25" customHeight="1">
      <c r="A83" s="321" t="s">
        <v>514</v>
      </c>
      <c r="B83" s="322" t="s">
        <v>506</v>
      </c>
      <c r="C83" s="424"/>
      <c r="D83" s="390"/>
      <c r="E83" s="389"/>
      <c r="F83" s="390"/>
      <c r="G83" s="425"/>
      <c r="H83" s="391"/>
      <c r="I83" s="391"/>
      <c r="J83" s="52">
        <f>SUM(J84:J88)</f>
        <v>7287</v>
      </c>
      <c r="K83" s="311"/>
      <c r="L83" s="311"/>
      <c r="M83" s="311"/>
      <c r="N83" s="311"/>
      <c r="O83" s="311"/>
      <c r="P83" s="311"/>
      <c r="Q83" s="311"/>
      <c r="R83" s="311"/>
      <c r="S83" s="311"/>
      <c r="T83" s="311"/>
      <c r="U83" s="311"/>
      <c r="V83" s="311"/>
      <c r="W83" s="311"/>
      <c r="X83" s="52"/>
      <c r="Y83" s="52"/>
      <c r="Z83" s="170">
        <f>SUM(Z84:Z88)</f>
        <v>7287</v>
      </c>
      <c r="AA83" s="1"/>
      <c r="AB83" s="1"/>
      <c r="AC83" s="244"/>
      <c r="AD83" s="394">
        <f t="shared" si="35"/>
        <v>0</v>
      </c>
      <c r="AE83" s="298"/>
      <c r="AF83" s="298"/>
    </row>
    <row r="84" spans="1:32" s="316" customFormat="1" ht="44.25" customHeight="1">
      <c r="A84" s="334">
        <v>1</v>
      </c>
      <c r="B84" s="335" t="s">
        <v>507</v>
      </c>
      <c r="C84" s="337"/>
      <c r="D84" s="426"/>
      <c r="E84" s="412"/>
      <c r="F84" s="426"/>
      <c r="G84" s="339"/>
      <c r="H84" s="427"/>
      <c r="I84" s="427"/>
      <c r="J84" s="53">
        <v>4966</v>
      </c>
      <c r="K84" s="311"/>
      <c r="L84" s="311"/>
      <c r="M84" s="311"/>
      <c r="N84" s="311"/>
      <c r="O84" s="311"/>
      <c r="P84" s="311"/>
      <c r="Q84" s="311"/>
      <c r="R84" s="311"/>
      <c r="S84" s="311"/>
      <c r="T84" s="311"/>
      <c r="U84" s="311"/>
      <c r="V84" s="311"/>
      <c r="W84" s="311"/>
      <c r="X84" s="52"/>
      <c r="Y84" s="52"/>
      <c r="Z84" s="171">
        <v>4966</v>
      </c>
      <c r="AA84" s="1"/>
      <c r="AB84" s="341" t="s">
        <v>879</v>
      </c>
      <c r="AC84" s="244"/>
      <c r="AD84" s="394">
        <f t="shared" si="35"/>
        <v>0</v>
      </c>
      <c r="AE84" s="298"/>
      <c r="AF84" s="298"/>
    </row>
    <row r="85" spans="1:32" s="316" customFormat="1" ht="65.25" customHeight="1">
      <c r="A85" s="334">
        <v>2</v>
      </c>
      <c r="B85" s="335" t="s">
        <v>508</v>
      </c>
      <c r="C85" s="337" t="s">
        <v>97</v>
      </c>
      <c r="D85" s="426"/>
      <c r="E85" s="412"/>
      <c r="F85" s="426"/>
      <c r="G85" s="339"/>
      <c r="H85" s="427"/>
      <c r="I85" s="427"/>
      <c r="J85" s="53">
        <v>600</v>
      </c>
      <c r="K85" s="311"/>
      <c r="L85" s="311"/>
      <c r="M85" s="311"/>
      <c r="N85" s="311"/>
      <c r="O85" s="311"/>
      <c r="P85" s="311"/>
      <c r="Q85" s="311"/>
      <c r="R85" s="311"/>
      <c r="S85" s="311"/>
      <c r="T85" s="311"/>
      <c r="U85" s="311"/>
      <c r="V85" s="311"/>
      <c r="W85" s="311"/>
      <c r="X85" s="52"/>
      <c r="Y85" s="52"/>
      <c r="Z85" s="171">
        <v>600</v>
      </c>
      <c r="AA85" s="1"/>
      <c r="AB85" s="341" t="s">
        <v>879</v>
      </c>
      <c r="AC85" s="244"/>
      <c r="AD85" s="394">
        <f t="shared" si="35"/>
        <v>0</v>
      </c>
      <c r="AE85" s="298"/>
      <c r="AF85" s="298"/>
    </row>
    <row r="86" spans="1:32" s="316" customFormat="1" ht="63" customHeight="1">
      <c r="A86" s="334">
        <v>3</v>
      </c>
      <c r="B86" s="335" t="s">
        <v>509</v>
      </c>
      <c r="C86" s="337" t="s">
        <v>512</v>
      </c>
      <c r="D86" s="426"/>
      <c r="E86" s="412"/>
      <c r="F86" s="426"/>
      <c r="G86" s="339"/>
      <c r="H86" s="427"/>
      <c r="I86" s="427"/>
      <c r="J86" s="53">
        <v>800</v>
      </c>
      <c r="K86" s="311"/>
      <c r="L86" s="311"/>
      <c r="M86" s="311"/>
      <c r="N86" s="311"/>
      <c r="O86" s="311"/>
      <c r="P86" s="311"/>
      <c r="Q86" s="311"/>
      <c r="R86" s="311"/>
      <c r="S86" s="311"/>
      <c r="T86" s="311"/>
      <c r="U86" s="311"/>
      <c r="V86" s="311"/>
      <c r="W86" s="311"/>
      <c r="X86" s="52"/>
      <c r="Y86" s="52"/>
      <c r="Z86" s="171">
        <v>800</v>
      </c>
      <c r="AA86" s="1"/>
      <c r="AB86" s="341" t="s">
        <v>879</v>
      </c>
      <c r="AC86" s="244"/>
      <c r="AD86" s="394">
        <f t="shared" si="35"/>
        <v>0</v>
      </c>
      <c r="AE86" s="298"/>
      <c r="AF86" s="298"/>
    </row>
    <row r="87" spans="1:32" s="316" customFormat="1" ht="75.75" customHeight="1">
      <c r="A87" s="334">
        <v>4</v>
      </c>
      <c r="B87" s="335" t="s">
        <v>510</v>
      </c>
      <c r="C87" s="337" t="s">
        <v>110</v>
      </c>
      <c r="D87" s="426"/>
      <c r="E87" s="412"/>
      <c r="F87" s="426"/>
      <c r="G87" s="339"/>
      <c r="H87" s="427"/>
      <c r="I87" s="427"/>
      <c r="J87" s="53">
        <v>700</v>
      </c>
      <c r="K87" s="311"/>
      <c r="L87" s="311"/>
      <c r="M87" s="311"/>
      <c r="N87" s="311"/>
      <c r="O87" s="311"/>
      <c r="P87" s="311"/>
      <c r="Q87" s="311"/>
      <c r="R87" s="311"/>
      <c r="S87" s="311"/>
      <c r="T87" s="311"/>
      <c r="U87" s="311"/>
      <c r="V87" s="311"/>
      <c r="W87" s="311"/>
      <c r="X87" s="52"/>
      <c r="Y87" s="52"/>
      <c r="Z87" s="171">
        <v>700</v>
      </c>
      <c r="AA87" s="1"/>
      <c r="AB87" s="341" t="s">
        <v>879</v>
      </c>
      <c r="AC87" s="244"/>
      <c r="AD87" s="394">
        <f t="shared" si="35"/>
        <v>0</v>
      </c>
      <c r="AE87" s="298"/>
      <c r="AF87" s="298"/>
    </row>
    <row r="88" spans="1:32" s="316" customFormat="1" ht="54.75" customHeight="1">
      <c r="A88" s="334">
        <v>5</v>
      </c>
      <c r="B88" s="335" t="s">
        <v>511</v>
      </c>
      <c r="C88" s="337" t="s">
        <v>513</v>
      </c>
      <c r="D88" s="426"/>
      <c r="E88" s="412"/>
      <c r="F88" s="426"/>
      <c r="G88" s="339"/>
      <c r="H88" s="427"/>
      <c r="I88" s="427"/>
      <c r="J88" s="53">
        <v>221</v>
      </c>
      <c r="K88" s="311"/>
      <c r="L88" s="311"/>
      <c r="M88" s="311"/>
      <c r="N88" s="311"/>
      <c r="O88" s="311"/>
      <c r="P88" s="311"/>
      <c r="Q88" s="311"/>
      <c r="R88" s="311"/>
      <c r="S88" s="311"/>
      <c r="T88" s="311"/>
      <c r="U88" s="311"/>
      <c r="V88" s="311"/>
      <c r="W88" s="311"/>
      <c r="X88" s="52"/>
      <c r="Y88" s="52"/>
      <c r="Z88" s="171">
        <v>221</v>
      </c>
      <c r="AA88" s="1"/>
      <c r="AB88" s="341" t="s">
        <v>879</v>
      </c>
      <c r="AC88" s="244"/>
      <c r="AD88" s="394">
        <f t="shared" si="35"/>
        <v>0</v>
      </c>
      <c r="AE88" s="298"/>
      <c r="AF88" s="298"/>
    </row>
    <row r="89" spans="1:32" s="316" customFormat="1" ht="131.25" customHeight="1">
      <c r="A89" s="443" t="s">
        <v>312</v>
      </c>
      <c r="B89" s="310" t="s">
        <v>334</v>
      </c>
      <c r="C89" s="443"/>
      <c r="D89" s="443"/>
      <c r="E89" s="443"/>
      <c r="F89" s="443"/>
      <c r="G89" s="443"/>
      <c r="H89" s="428"/>
      <c r="I89" s="428"/>
      <c r="J89" s="323">
        <f>SUM(K89,L89:T89)</f>
        <v>10000</v>
      </c>
      <c r="K89" s="428">
        <v>200000</v>
      </c>
      <c r="L89" s="428"/>
      <c r="M89" s="428"/>
      <c r="N89" s="428"/>
      <c r="O89" s="428"/>
      <c r="P89" s="428"/>
      <c r="Q89" s="428"/>
      <c r="R89" s="428"/>
      <c r="S89" s="428"/>
      <c r="T89" s="428">
        <v>-190000</v>
      </c>
      <c r="U89" s="311">
        <f>SUM(V89:Y89)</f>
        <v>0</v>
      </c>
      <c r="V89" s="311"/>
      <c r="W89" s="311"/>
      <c r="X89" s="311"/>
      <c r="Y89" s="311">
        <v>0</v>
      </c>
      <c r="Z89" s="324">
        <v>10000</v>
      </c>
      <c r="AA89" s="1" t="s">
        <v>335</v>
      </c>
      <c r="AB89" s="1"/>
      <c r="AC89" s="244"/>
      <c r="AD89" s="394">
        <f t="shared" si="35"/>
        <v>0</v>
      </c>
      <c r="AE89" s="298"/>
      <c r="AF89" s="298"/>
    </row>
    <row r="90" spans="1:32" s="316" customFormat="1" ht="58.5" customHeight="1">
      <c r="A90" s="443" t="s">
        <v>313</v>
      </c>
      <c r="B90" s="310" t="s">
        <v>366</v>
      </c>
      <c r="C90" s="443"/>
      <c r="D90" s="443"/>
      <c r="E90" s="443"/>
      <c r="F90" s="443"/>
      <c r="G90" s="443"/>
      <c r="H90" s="311">
        <f t="shared" ref="H90:Z91" si="42">SUM(H91)</f>
        <v>11876</v>
      </c>
      <c r="I90" s="311">
        <f t="shared" si="42"/>
        <v>9700</v>
      </c>
      <c r="J90" s="311">
        <f t="shared" si="42"/>
        <v>9700</v>
      </c>
      <c r="K90" s="311">
        <f t="shared" si="42"/>
        <v>0</v>
      </c>
      <c r="L90" s="311">
        <f t="shared" si="42"/>
        <v>0</v>
      </c>
      <c r="M90" s="311">
        <f t="shared" si="42"/>
        <v>0</v>
      </c>
      <c r="N90" s="311">
        <f t="shared" si="42"/>
        <v>0</v>
      </c>
      <c r="O90" s="311">
        <f t="shared" si="42"/>
        <v>9700</v>
      </c>
      <c r="P90" s="311">
        <f t="shared" si="42"/>
        <v>0</v>
      </c>
      <c r="Q90" s="311">
        <f t="shared" si="42"/>
        <v>0</v>
      </c>
      <c r="R90" s="311">
        <f t="shared" si="42"/>
        <v>0</v>
      </c>
      <c r="S90" s="311">
        <f t="shared" si="42"/>
        <v>0</v>
      </c>
      <c r="T90" s="311">
        <f t="shared" si="42"/>
        <v>0</v>
      </c>
      <c r="U90" s="311">
        <f t="shared" si="42"/>
        <v>0</v>
      </c>
      <c r="V90" s="311">
        <f t="shared" si="42"/>
        <v>0</v>
      </c>
      <c r="W90" s="311">
        <f t="shared" si="42"/>
        <v>0</v>
      </c>
      <c r="X90" s="311">
        <f t="shared" si="42"/>
        <v>0</v>
      </c>
      <c r="Y90" s="311">
        <f t="shared" si="42"/>
        <v>0</v>
      </c>
      <c r="Z90" s="311">
        <f t="shared" si="42"/>
        <v>9700</v>
      </c>
      <c r="AA90" s="1"/>
      <c r="AB90" s="1"/>
      <c r="AC90" s="244"/>
      <c r="AD90" s="394">
        <f t="shared" si="35"/>
        <v>0</v>
      </c>
      <c r="AE90" s="298"/>
      <c r="AF90" s="298"/>
    </row>
    <row r="91" spans="1:32" s="316" customFormat="1" ht="43.5" customHeight="1">
      <c r="A91" s="443" t="s">
        <v>14</v>
      </c>
      <c r="B91" s="310" t="s">
        <v>35</v>
      </c>
      <c r="C91" s="443"/>
      <c r="D91" s="443"/>
      <c r="E91" s="443"/>
      <c r="F91" s="443"/>
      <c r="G91" s="443"/>
      <c r="H91" s="311">
        <f t="shared" si="42"/>
        <v>11876</v>
      </c>
      <c r="I91" s="311">
        <f t="shared" si="42"/>
        <v>9700</v>
      </c>
      <c r="J91" s="311">
        <f>SUM(J92)</f>
        <v>9700</v>
      </c>
      <c r="K91" s="311">
        <f t="shared" si="42"/>
        <v>0</v>
      </c>
      <c r="L91" s="311">
        <f t="shared" si="42"/>
        <v>0</v>
      </c>
      <c r="M91" s="311">
        <f t="shared" si="42"/>
        <v>0</v>
      </c>
      <c r="N91" s="311">
        <f t="shared" si="42"/>
        <v>0</v>
      </c>
      <c r="O91" s="311">
        <f t="shared" si="42"/>
        <v>9700</v>
      </c>
      <c r="P91" s="311">
        <f t="shared" si="42"/>
        <v>0</v>
      </c>
      <c r="Q91" s="311">
        <f t="shared" si="42"/>
        <v>0</v>
      </c>
      <c r="R91" s="311">
        <f t="shared" si="42"/>
        <v>0</v>
      </c>
      <c r="S91" s="311">
        <f t="shared" si="42"/>
        <v>0</v>
      </c>
      <c r="T91" s="311">
        <f t="shared" si="42"/>
        <v>0</v>
      </c>
      <c r="U91" s="311">
        <f t="shared" si="42"/>
        <v>0</v>
      </c>
      <c r="V91" s="311">
        <f t="shared" si="42"/>
        <v>0</v>
      </c>
      <c r="W91" s="311">
        <f t="shared" si="42"/>
        <v>0</v>
      </c>
      <c r="X91" s="311">
        <f t="shared" si="42"/>
        <v>0</v>
      </c>
      <c r="Y91" s="311">
        <f t="shared" si="42"/>
        <v>0</v>
      </c>
      <c r="Z91" s="311">
        <f t="shared" si="42"/>
        <v>9700</v>
      </c>
      <c r="AA91" s="1"/>
      <c r="AB91" s="1"/>
      <c r="AC91" s="244"/>
      <c r="AD91" s="394">
        <f t="shared" si="35"/>
        <v>0</v>
      </c>
      <c r="AE91" s="298"/>
      <c r="AF91" s="298"/>
    </row>
    <row r="92" spans="1:32" s="316" customFormat="1" ht="43.5" customHeight="1">
      <c r="A92" s="429" t="s">
        <v>16</v>
      </c>
      <c r="B92" s="430" t="s">
        <v>255</v>
      </c>
      <c r="C92" s="443"/>
      <c r="D92" s="443"/>
      <c r="E92" s="443"/>
      <c r="F92" s="443"/>
      <c r="G92" s="443"/>
      <c r="H92" s="431">
        <f t="shared" ref="H92:Y92" si="43">SUM(H93:H96)</f>
        <v>11876</v>
      </c>
      <c r="I92" s="431">
        <f t="shared" si="43"/>
        <v>9700</v>
      </c>
      <c r="J92" s="431">
        <f t="shared" si="43"/>
        <v>9700</v>
      </c>
      <c r="K92" s="431">
        <f t="shared" si="43"/>
        <v>0</v>
      </c>
      <c r="L92" s="431">
        <f t="shared" si="43"/>
        <v>0</v>
      </c>
      <c r="M92" s="431">
        <f t="shared" si="43"/>
        <v>0</v>
      </c>
      <c r="N92" s="431">
        <f t="shared" si="43"/>
        <v>0</v>
      </c>
      <c r="O92" s="431">
        <f t="shared" si="43"/>
        <v>9700</v>
      </c>
      <c r="P92" s="431">
        <f t="shared" si="43"/>
        <v>0</v>
      </c>
      <c r="Q92" s="431">
        <f t="shared" si="43"/>
        <v>0</v>
      </c>
      <c r="R92" s="431">
        <f t="shared" si="43"/>
        <v>0</v>
      </c>
      <c r="S92" s="431">
        <f t="shared" si="43"/>
        <v>0</v>
      </c>
      <c r="T92" s="431">
        <f t="shared" si="43"/>
        <v>0</v>
      </c>
      <c r="U92" s="431">
        <f t="shared" si="43"/>
        <v>0</v>
      </c>
      <c r="V92" s="431">
        <f t="shared" si="43"/>
        <v>0</v>
      </c>
      <c r="W92" s="431">
        <f t="shared" si="43"/>
        <v>0</v>
      </c>
      <c r="X92" s="431">
        <f t="shared" si="43"/>
        <v>0</v>
      </c>
      <c r="Y92" s="431">
        <f t="shared" si="43"/>
        <v>0</v>
      </c>
      <c r="Z92" s="431">
        <f>SUM(Z93:Z96)</f>
        <v>9700</v>
      </c>
      <c r="AA92" s="1"/>
      <c r="AB92" s="1"/>
      <c r="AC92" s="244"/>
      <c r="AD92" s="394">
        <f t="shared" si="35"/>
        <v>0</v>
      </c>
      <c r="AE92" s="298"/>
      <c r="AF92" s="298"/>
    </row>
    <row r="93" spans="1:32" s="316" customFormat="1" ht="48.75" customHeight="1">
      <c r="A93" s="334">
        <v>1</v>
      </c>
      <c r="B93" s="411" t="s">
        <v>364</v>
      </c>
      <c r="C93" s="432" t="s">
        <v>210</v>
      </c>
      <c r="D93" s="396" t="s">
        <v>19</v>
      </c>
      <c r="E93" s="396" t="s">
        <v>247</v>
      </c>
      <c r="F93" s="396" t="s">
        <v>39</v>
      </c>
      <c r="G93" s="279" t="s">
        <v>762</v>
      </c>
      <c r="H93" s="340">
        <v>6255</v>
      </c>
      <c r="I93" s="340">
        <v>4300</v>
      </c>
      <c r="J93" s="318">
        <f t="shared" ref="J93:J96" si="44">SUM(K93,L93:T93)</f>
        <v>4300</v>
      </c>
      <c r="K93" s="428"/>
      <c r="L93" s="428"/>
      <c r="M93" s="428"/>
      <c r="N93" s="428"/>
      <c r="O93" s="25">
        <v>4300</v>
      </c>
      <c r="P93" s="428"/>
      <c r="Q93" s="428"/>
      <c r="R93" s="428"/>
      <c r="S93" s="428"/>
      <c r="T93" s="428"/>
      <c r="U93" s="318">
        <f>SUM(V93:Y93)</f>
        <v>0</v>
      </c>
      <c r="V93" s="428"/>
      <c r="W93" s="428"/>
      <c r="X93" s="53"/>
      <c r="Y93" s="53"/>
      <c r="Z93" s="400">
        <v>4300</v>
      </c>
      <c r="AA93" s="1"/>
      <c r="AB93" s="341" t="s">
        <v>879</v>
      </c>
      <c r="AC93" s="244"/>
      <c r="AD93" s="394">
        <f t="shared" si="35"/>
        <v>0</v>
      </c>
      <c r="AE93" s="298"/>
      <c r="AF93" s="298"/>
    </row>
    <row r="94" spans="1:32" s="316" customFormat="1" ht="49.5" customHeight="1">
      <c r="A94" s="334">
        <f t="shared" ref="A94:A96" si="45">+A93+1</f>
        <v>2</v>
      </c>
      <c r="B94" s="411" t="s">
        <v>365</v>
      </c>
      <c r="C94" s="433" t="s">
        <v>760</v>
      </c>
      <c r="D94" s="396" t="s">
        <v>19</v>
      </c>
      <c r="E94" s="396" t="s">
        <v>299</v>
      </c>
      <c r="F94" s="396" t="s">
        <v>240</v>
      </c>
      <c r="G94" s="279" t="s">
        <v>759</v>
      </c>
      <c r="H94" s="340">
        <v>2169</v>
      </c>
      <c r="I94" s="340">
        <v>2000</v>
      </c>
      <c r="J94" s="318">
        <f t="shared" si="44"/>
        <v>2000</v>
      </c>
      <c r="K94" s="428"/>
      <c r="L94" s="428"/>
      <c r="M94" s="428"/>
      <c r="N94" s="428"/>
      <c r="O94" s="340">
        <v>2000</v>
      </c>
      <c r="P94" s="428"/>
      <c r="Q94" s="428"/>
      <c r="R94" s="428"/>
      <c r="S94" s="428"/>
      <c r="T94" s="428"/>
      <c r="U94" s="318">
        <f>SUM(V94:Y94)</f>
        <v>0</v>
      </c>
      <c r="V94" s="428"/>
      <c r="W94" s="428"/>
      <c r="X94" s="53"/>
      <c r="Y94" s="53"/>
      <c r="Z94" s="400">
        <v>2000</v>
      </c>
      <c r="AA94" s="1"/>
      <c r="AB94" s="341" t="s">
        <v>879</v>
      </c>
      <c r="AC94" s="244"/>
      <c r="AD94" s="394">
        <f t="shared" si="35"/>
        <v>0</v>
      </c>
      <c r="AE94" s="298"/>
      <c r="AF94" s="298"/>
    </row>
    <row r="95" spans="1:32" s="316" customFormat="1" ht="60.75" customHeight="1">
      <c r="A95" s="334">
        <f t="shared" si="45"/>
        <v>3</v>
      </c>
      <c r="B95" s="411" t="s">
        <v>974</v>
      </c>
      <c r="C95" s="433" t="s">
        <v>761</v>
      </c>
      <c r="D95" s="396" t="s">
        <v>19</v>
      </c>
      <c r="E95" s="396" t="s">
        <v>299</v>
      </c>
      <c r="F95" s="396" t="s">
        <v>240</v>
      </c>
      <c r="G95" s="279" t="s">
        <v>758</v>
      </c>
      <c r="H95" s="340">
        <v>1938</v>
      </c>
      <c r="I95" s="340">
        <v>1900</v>
      </c>
      <c r="J95" s="318">
        <f t="shared" si="44"/>
        <v>1900</v>
      </c>
      <c r="K95" s="428"/>
      <c r="L95" s="428"/>
      <c r="M95" s="428"/>
      <c r="N95" s="428"/>
      <c r="O95" s="340">
        <v>1900</v>
      </c>
      <c r="P95" s="428"/>
      <c r="Q95" s="428"/>
      <c r="R95" s="428"/>
      <c r="S95" s="428"/>
      <c r="T95" s="428"/>
      <c r="U95" s="318">
        <f>SUM(V95:Y95)</f>
        <v>0</v>
      </c>
      <c r="V95" s="428"/>
      <c r="W95" s="428"/>
      <c r="X95" s="53"/>
      <c r="Y95" s="53"/>
      <c r="Z95" s="400">
        <v>1900</v>
      </c>
      <c r="AA95" s="1"/>
      <c r="AB95" s="341" t="s">
        <v>879</v>
      </c>
      <c r="AC95" s="244"/>
      <c r="AD95" s="394">
        <f t="shared" si="35"/>
        <v>0</v>
      </c>
      <c r="AE95" s="298"/>
      <c r="AF95" s="298"/>
    </row>
    <row r="96" spans="1:32" s="316" customFormat="1" ht="60" customHeight="1">
      <c r="A96" s="334">
        <f t="shared" si="45"/>
        <v>4</v>
      </c>
      <c r="B96" s="411" t="s">
        <v>975</v>
      </c>
      <c r="C96" s="433" t="s">
        <v>757</v>
      </c>
      <c r="D96" s="396" t="s">
        <v>19</v>
      </c>
      <c r="E96" s="396" t="s">
        <v>299</v>
      </c>
      <c r="F96" s="396" t="s">
        <v>240</v>
      </c>
      <c r="G96" s="279" t="s">
        <v>756</v>
      </c>
      <c r="H96" s="340">
        <v>1514</v>
      </c>
      <c r="I96" s="340">
        <v>1500</v>
      </c>
      <c r="J96" s="318">
        <f t="shared" si="44"/>
        <v>1500</v>
      </c>
      <c r="K96" s="428"/>
      <c r="L96" s="428"/>
      <c r="M96" s="428"/>
      <c r="N96" s="428"/>
      <c r="O96" s="340">
        <v>1500</v>
      </c>
      <c r="P96" s="428"/>
      <c r="Q96" s="428"/>
      <c r="R96" s="428"/>
      <c r="S96" s="428"/>
      <c r="T96" s="428"/>
      <c r="U96" s="318">
        <f>SUM(V96:Y96)</f>
        <v>0</v>
      </c>
      <c r="V96" s="428"/>
      <c r="W96" s="428"/>
      <c r="X96" s="53"/>
      <c r="Y96" s="53"/>
      <c r="Z96" s="400">
        <v>1500</v>
      </c>
      <c r="AA96" s="1"/>
      <c r="AB96" s="341" t="s">
        <v>879</v>
      </c>
      <c r="AC96" s="244"/>
      <c r="AD96" s="394">
        <f t="shared" si="35"/>
        <v>0</v>
      </c>
      <c r="AE96" s="298"/>
      <c r="AF96" s="298"/>
    </row>
    <row r="98" spans="1:1" ht="18">
      <c r="A98" s="434"/>
    </row>
  </sheetData>
  <autoFilter ref="A9:BA96"/>
  <mergeCells count="30">
    <mergeCell ref="Z6:Z8"/>
    <mergeCell ref="T6:T8"/>
    <mergeCell ref="G7:G8"/>
    <mergeCell ref="H7:I7"/>
    <mergeCell ref="O6:O8"/>
    <mergeCell ref="P6:P8"/>
    <mergeCell ref="Q6:Q8"/>
    <mergeCell ref="R6:R8"/>
    <mergeCell ref="S6:S8"/>
    <mergeCell ref="J6:J8"/>
    <mergeCell ref="K6:K8"/>
    <mergeCell ref="L6:L8"/>
    <mergeCell ref="M6:M8"/>
    <mergeCell ref="N6:N8"/>
    <mergeCell ref="AB6:AB8"/>
    <mergeCell ref="A1:AA1"/>
    <mergeCell ref="A2:AA2"/>
    <mergeCell ref="A4:AA4"/>
    <mergeCell ref="A6:A8"/>
    <mergeCell ref="B6:B8"/>
    <mergeCell ref="C6:C8"/>
    <mergeCell ref="D6:D8"/>
    <mergeCell ref="E6:E8"/>
    <mergeCell ref="F6:F8"/>
    <mergeCell ref="G6:I6"/>
    <mergeCell ref="AA6:AA8"/>
    <mergeCell ref="U7:U8"/>
    <mergeCell ref="U6:Y6"/>
    <mergeCell ref="V7:Y7"/>
    <mergeCell ref="A3:AA3"/>
  </mergeCells>
  <printOptions horizontalCentered="1"/>
  <pageMargins left="0.39370078740157499" right="0.39370078740157499" top="0.39370078740157499" bottom="0.39370078740157499" header="0.196850393700787" footer="0.196850393700787"/>
  <pageSetup paperSize="9" scale="45" fitToHeight="0" orientation="landscape" r:id="rId1"/>
  <headerFooter alignWithMargins="0">
    <oddFooter>&amp;C&amp;"Times New Roman,thường"&amp;11&amp;P/&amp;N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D84"/>
  <sheetViews>
    <sheetView view="pageBreakPreview" zoomScale="55" zoomScaleNormal="60" zoomScaleSheetLayoutView="55" workbookViewId="0">
      <selection activeCell="G75" sqref="G75"/>
    </sheetView>
  </sheetViews>
  <sheetFormatPr defaultColWidth="8.88671875" defaultRowHeight="16.8"/>
  <cols>
    <col min="1" max="1" width="6.6640625" style="31" customWidth="1"/>
    <col min="2" max="2" width="50.6640625" style="32" customWidth="1"/>
    <col min="3" max="6" width="20.6640625" style="32" customWidth="1"/>
    <col min="7" max="7" width="22.6640625" style="32" customWidth="1"/>
    <col min="8" max="9" width="15.6640625" style="55" customWidth="1"/>
    <col min="10" max="10" width="20.6640625" style="55" customWidth="1"/>
    <col min="11" max="20" width="15.6640625" style="55" hidden="1" customWidth="1"/>
    <col min="21" max="21" width="15.6640625" style="55" customWidth="1"/>
    <col min="22" max="24" width="15.6640625" style="55" hidden="1" customWidth="1"/>
    <col min="25" max="26" width="15.6640625" style="55" customWidth="1"/>
    <col min="27" max="28" width="40.6640625" style="55" customWidth="1"/>
    <col min="29" max="29" width="14.88671875" style="32" customWidth="1"/>
    <col min="30" max="30" width="11" style="32" customWidth="1"/>
    <col min="31" max="31" width="9.44140625" style="32" customWidth="1"/>
    <col min="32" max="32" width="11.44140625" style="32" customWidth="1"/>
    <col min="33" max="33" width="8.88671875" style="32"/>
    <col min="34" max="36" width="11.44140625" style="32"/>
    <col min="37" max="39" width="8.88671875" style="32"/>
    <col min="40" max="41" width="11.44140625" style="32"/>
    <col min="42" max="42" width="13.109375" style="32" customWidth="1"/>
    <col min="43" max="55" width="11.44140625" style="32"/>
    <col min="56" max="56" width="12.6640625" style="32" bestFit="1" customWidth="1"/>
    <col min="57" max="273" width="11.44140625" style="32"/>
    <col min="274" max="274" width="6.6640625" style="32" customWidth="1"/>
    <col min="275" max="275" width="59" style="32" customWidth="1"/>
    <col min="276" max="278" width="20.6640625" style="32" customWidth="1"/>
    <col min="279" max="279" width="20" style="32" customWidth="1"/>
    <col min="280" max="284" width="15.6640625" style="32" customWidth="1"/>
    <col min="285" max="285" width="20.6640625" style="32" customWidth="1"/>
    <col min="286" max="286" width="20.44140625" style="32" customWidth="1"/>
    <col min="287" max="287" width="15.6640625" style="32" customWidth="1"/>
    <col min="288" max="288" width="20.6640625" style="32" customWidth="1"/>
    <col min="289" max="289" width="27.44140625" style="32" customWidth="1"/>
    <col min="290" max="529" width="11.44140625" style="32"/>
    <col min="530" max="530" width="6.6640625" style="32" customWidth="1"/>
    <col min="531" max="531" width="59" style="32" customWidth="1"/>
    <col min="532" max="534" width="20.6640625" style="32" customWidth="1"/>
    <col min="535" max="535" width="20" style="32" customWidth="1"/>
    <col min="536" max="540" width="15.6640625" style="32" customWidth="1"/>
    <col min="541" max="541" width="20.6640625" style="32" customWidth="1"/>
    <col min="542" max="542" width="20.44140625" style="32" customWidth="1"/>
    <col min="543" max="543" width="15.6640625" style="32" customWidth="1"/>
    <col min="544" max="544" width="20.6640625" style="32" customWidth="1"/>
    <col min="545" max="545" width="27.44140625" style="32" customWidth="1"/>
    <col min="546" max="785" width="11.44140625" style="32"/>
    <col min="786" max="786" width="6.6640625" style="32" customWidth="1"/>
    <col min="787" max="787" width="59" style="32" customWidth="1"/>
    <col min="788" max="790" width="20.6640625" style="32" customWidth="1"/>
    <col min="791" max="791" width="20" style="32" customWidth="1"/>
    <col min="792" max="796" width="15.6640625" style="32" customWidth="1"/>
    <col min="797" max="797" width="20.6640625" style="32" customWidth="1"/>
    <col min="798" max="798" width="20.44140625" style="32" customWidth="1"/>
    <col min="799" max="799" width="15.6640625" style="32" customWidth="1"/>
    <col min="800" max="800" width="20.6640625" style="32" customWidth="1"/>
    <col min="801" max="801" width="27.44140625" style="32" customWidth="1"/>
    <col min="802" max="1040" width="9.109375" style="32"/>
    <col min="1041" max="1041" width="11.44140625" style="32"/>
    <col min="1042" max="1042" width="6.6640625" style="32" customWidth="1"/>
    <col min="1043" max="1043" width="59" style="32" customWidth="1"/>
    <col min="1044" max="1046" width="20.6640625" style="32" customWidth="1"/>
    <col min="1047" max="1047" width="20" style="32" customWidth="1"/>
    <col min="1048" max="1052" width="15.6640625" style="32" customWidth="1"/>
    <col min="1053" max="1053" width="20.6640625" style="32" customWidth="1"/>
    <col min="1054" max="1054" width="20.44140625" style="32" customWidth="1"/>
    <col min="1055" max="1055" width="15.6640625" style="32" customWidth="1"/>
    <col min="1056" max="1056" width="20.6640625" style="32" customWidth="1"/>
    <col min="1057" max="1057" width="27.44140625" style="32" customWidth="1"/>
    <col min="1058" max="1297" width="11.44140625" style="32"/>
    <col min="1298" max="1298" width="6.6640625" style="32" customWidth="1"/>
    <col min="1299" max="1299" width="59" style="32" customWidth="1"/>
    <col min="1300" max="1302" width="20.6640625" style="32" customWidth="1"/>
    <col min="1303" max="1303" width="20" style="32" customWidth="1"/>
    <col min="1304" max="1308" width="15.6640625" style="32" customWidth="1"/>
    <col min="1309" max="1309" width="20.6640625" style="32" customWidth="1"/>
    <col min="1310" max="1310" width="20.44140625" style="32" customWidth="1"/>
    <col min="1311" max="1311" width="15.6640625" style="32" customWidth="1"/>
    <col min="1312" max="1312" width="20.6640625" style="32" customWidth="1"/>
    <col min="1313" max="1313" width="27.44140625" style="32" customWidth="1"/>
    <col min="1314" max="1553" width="11.44140625" style="32"/>
    <col min="1554" max="1554" width="6.6640625" style="32" customWidth="1"/>
    <col min="1555" max="1555" width="59" style="32" customWidth="1"/>
    <col min="1556" max="1558" width="20.6640625" style="32" customWidth="1"/>
    <col min="1559" max="1559" width="20" style="32" customWidth="1"/>
    <col min="1560" max="1564" width="15.6640625" style="32" customWidth="1"/>
    <col min="1565" max="1565" width="20.6640625" style="32" customWidth="1"/>
    <col min="1566" max="1566" width="20.44140625" style="32" customWidth="1"/>
    <col min="1567" max="1567" width="15.6640625" style="32" customWidth="1"/>
    <col min="1568" max="1568" width="20.6640625" style="32" customWidth="1"/>
    <col min="1569" max="1569" width="27.44140625" style="32" customWidth="1"/>
    <col min="1570" max="1809" width="11.44140625" style="32"/>
    <col min="1810" max="1810" width="6.6640625" style="32" customWidth="1"/>
    <col min="1811" max="1811" width="59" style="32" customWidth="1"/>
    <col min="1812" max="1814" width="20.6640625" style="32" customWidth="1"/>
    <col min="1815" max="1815" width="20" style="32" customWidth="1"/>
    <col min="1816" max="1820" width="15.6640625" style="32" customWidth="1"/>
    <col min="1821" max="1821" width="20.6640625" style="32" customWidth="1"/>
    <col min="1822" max="1822" width="20.44140625" style="32" customWidth="1"/>
    <col min="1823" max="1823" width="15.6640625" style="32" customWidth="1"/>
    <col min="1824" max="1824" width="20.6640625" style="32" customWidth="1"/>
    <col min="1825" max="1825" width="27.44140625" style="32" customWidth="1"/>
    <col min="1826" max="2064" width="9.109375" style="32"/>
    <col min="2065" max="2065" width="11.44140625" style="32"/>
    <col min="2066" max="2066" width="6.6640625" style="32" customWidth="1"/>
    <col min="2067" max="2067" width="59" style="32" customWidth="1"/>
    <col min="2068" max="2070" width="20.6640625" style="32" customWidth="1"/>
    <col min="2071" max="2071" width="20" style="32" customWidth="1"/>
    <col min="2072" max="2076" width="15.6640625" style="32" customWidth="1"/>
    <col min="2077" max="2077" width="20.6640625" style="32" customWidth="1"/>
    <col min="2078" max="2078" width="20.44140625" style="32" customWidth="1"/>
    <col min="2079" max="2079" width="15.6640625" style="32" customWidth="1"/>
    <col min="2080" max="2080" width="20.6640625" style="32" customWidth="1"/>
    <col min="2081" max="2081" width="27.44140625" style="32" customWidth="1"/>
    <col min="2082" max="2321" width="11.44140625" style="32"/>
    <col min="2322" max="2322" width="6.6640625" style="32" customWidth="1"/>
    <col min="2323" max="2323" width="59" style="32" customWidth="1"/>
    <col min="2324" max="2326" width="20.6640625" style="32" customWidth="1"/>
    <col min="2327" max="2327" width="20" style="32" customWidth="1"/>
    <col min="2328" max="2332" width="15.6640625" style="32" customWidth="1"/>
    <col min="2333" max="2333" width="20.6640625" style="32" customWidth="1"/>
    <col min="2334" max="2334" width="20.44140625" style="32" customWidth="1"/>
    <col min="2335" max="2335" width="15.6640625" style="32" customWidth="1"/>
    <col min="2336" max="2336" width="20.6640625" style="32" customWidth="1"/>
    <col min="2337" max="2337" width="27.44140625" style="32" customWidth="1"/>
    <col min="2338" max="2577" width="11.44140625" style="32"/>
    <col min="2578" max="2578" width="6.6640625" style="32" customWidth="1"/>
    <col min="2579" max="2579" width="59" style="32" customWidth="1"/>
    <col min="2580" max="2582" width="20.6640625" style="32" customWidth="1"/>
    <col min="2583" max="2583" width="20" style="32" customWidth="1"/>
    <col min="2584" max="2588" width="15.6640625" style="32" customWidth="1"/>
    <col min="2589" max="2589" width="20.6640625" style="32" customWidth="1"/>
    <col min="2590" max="2590" width="20.44140625" style="32" customWidth="1"/>
    <col min="2591" max="2591" width="15.6640625" style="32" customWidth="1"/>
    <col min="2592" max="2592" width="20.6640625" style="32" customWidth="1"/>
    <col min="2593" max="2593" width="27.44140625" style="32" customWidth="1"/>
    <col min="2594" max="2833" width="11.44140625" style="32"/>
    <col min="2834" max="2834" width="6.6640625" style="32" customWidth="1"/>
    <col min="2835" max="2835" width="59" style="32" customWidth="1"/>
    <col min="2836" max="2838" width="20.6640625" style="32" customWidth="1"/>
    <col min="2839" max="2839" width="20" style="32" customWidth="1"/>
    <col min="2840" max="2844" width="15.6640625" style="32" customWidth="1"/>
    <col min="2845" max="2845" width="20.6640625" style="32" customWidth="1"/>
    <col min="2846" max="2846" width="20.44140625" style="32" customWidth="1"/>
    <col min="2847" max="2847" width="15.6640625" style="32" customWidth="1"/>
    <col min="2848" max="2848" width="20.6640625" style="32" customWidth="1"/>
    <col min="2849" max="2849" width="27.44140625" style="32" customWidth="1"/>
    <col min="2850" max="3088" width="9.109375" style="32"/>
    <col min="3089" max="3089" width="11.44140625" style="32"/>
    <col min="3090" max="3090" width="6.6640625" style="32" customWidth="1"/>
    <col min="3091" max="3091" width="59" style="32" customWidth="1"/>
    <col min="3092" max="3094" width="20.6640625" style="32" customWidth="1"/>
    <col min="3095" max="3095" width="20" style="32" customWidth="1"/>
    <col min="3096" max="3100" width="15.6640625" style="32" customWidth="1"/>
    <col min="3101" max="3101" width="20.6640625" style="32" customWidth="1"/>
    <col min="3102" max="3102" width="20.44140625" style="32" customWidth="1"/>
    <col min="3103" max="3103" width="15.6640625" style="32" customWidth="1"/>
    <col min="3104" max="3104" width="20.6640625" style="32" customWidth="1"/>
    <col min="3105" max="3105" width="27.44140625" style="32" customWidth="1"/>
    <col min="3106" max="3345" width="11.44140625" style="32"/>
    <col min="3346" max="3346" width="6.6640625" style="32" customWidth="1"/>
    <col min="3347" max="3347" width="59" style="32" customWidth="1"/>
    <col min="3348" max="3350" width="20.6640625" style="32" customWidth="1"/>
    <col min="3351" max="3351" width="20" style="32" customWidth="1"/>
    <col min="3352" max="3356" width="15.6640625" style="32" customWidth="1"/>
    <col min="3357" max="3357" width="20.6640625" style="32" customWidth="1"/>
    <col min="3358" max="3358" width="20.44140625" style="32" customWidth="1"/>
    <col min="3359" max="3359" width="15.6640625" style="32" customWidth="1"/>
    <col min="3360" max="3360" width="20.6640625" style="32" customWidth="1"/>
    <col min="3361" max="3361" width="27.44140625" style="32" customWidth="1"/>
    <col min="3362" max="3601" width="11.44140625" style="32"/>
    <col min="3602" max="3602" width="6.6640625" style="32" customWidth="1"/>
    <col min="3603" max="3603" width="59" style="32" customWidth="1"/>
    <col min="3604" max="3606" width="20.6640625" style="32" customWidth="1"/>
    <col min="3607" max="3607" width="20" style="32" customWidth="1"/>
    <col min="3608" max="3612" width="15.6640625" style="32" customWidth="1"/>
    <col min="3613" max="3613" width="20.6640625" style="32" customWidth="1"/>
    <col min="3614" max="3614" width="20.44140625" style="32" customWidth="1"/>
    <col min="3615" max="3615" width="15.6640625" style="32" customWidth="1"/>
    <col min="3616" max="3616" width="20.6640625" style="32" customWidth="1"/>
    <col min="3617" max="3617" width="27.44140625" style="32" customWidth="1"/>
    <col min="3618" max="3857" width="11.44140625" style="32"/>
    <col min="3858" max="3858" width="6.6640625" style="32" customWidth="1"/>
    <col min="3859" max="3859" width="59" style="32" customWidth="1"/>
    <col min="3860" max="3862" width="20.6640625" style="32" customWidth="1"/>
    <col min="3863" max="3863" width="20" style="32" customWidth="1"/>
    <col min="3864" max="3868" width="15.6640625" style="32" customWidth="1"/>
    <col min="3869" max="3869" width="20.6640625" style="32" customWidth="1"/>
    <col min="3870" max="3870" width="20.44140625" style="32" customWidth="1"/>
    <col min="3871" max="3871" width="15.6640625" style="32" customWidth="1"/>
    <col min="3872" max="3872" width="20.6640625" style="32" customWidth="1"/>
    <col min="3873" max="3873" width="27.44140625" style="32" customWidth="1"/>
    <col min="3874" max="4112" width="9.109375" style="32"/>
    <col min="4113" max="4113" width="11.44140625" style="32"/>
    <col min="4114" max="4114" width="6.6640625" style="32" customWidth="1"/>
    <col min="4115" max="4115" width="59" style="32" customWidth="1"/>
    <col min="4116" max="4118" width="20.6640625" style="32" customWidth="1"/>
    <col min="4119" max="4119" width="20" style="32" customWidth="1"/>
    <col min="4120" max="4124" width="15.6640625" style="32" customWidth="1"/>
    <col min="4125" max="4125" width="20.6640625" style="32" customWidth="1"/>
    <col min="4126" max="4126" width="20.44140625" style="32" customWidth="1"/>
    <col min="4127" max="4127" width="15.6640625" style="32" customWidth="1"/>
    <col min="4128" max="4128" width="20.6640625" style="32" customWidth="1"/>
    <col min="4129" max="4129" width="27.44140625" style="32" customWidth="1"/>
    <col min="4130" max="4369" width="11.44140625" style="32"/>
    <col min="4370" max="4370" width="6.6640625" style="32" customWidth="1"/>
    <col min="4371" max="4371" width="59" style="32" customWidth="1"/>
    <col min="4372" max="4374" width="20.6640625" style="32" customWidth="1"/>
    <col min="4375" max="4375" width="20" style="32" customWidth="1"/>
    <col min="4376" max="4380" width="15.6640625" style="32" customWidth="1"/>
    <col min="4381" max="4381" width="20.6640625" style="32" customWidth="1"/>
    <col min="4382" max="4382" width="20.44140625" style="32" customWidth="1"/>
    <col min="4383" max="4383" width="15.6640625" style="32" customWidth="1"/>
    <col min="4384" max="4384" width="20.6640625" style="32" customWidth="1"/>
    <col min="4385" max="4385" width="27.44140625" style="32" customWidth="1"/>
    <col min="4386" max="4625" width="11.44140625" style="32"/>
    <col min="4626" max="4626" width="6.6640625" style="32" customWidth="1"/>
    <col min="4627" max="4627" width="59" style="32" customWidth="1"/>
    <col min="4628" max="4630" width="20.6640625" style="32" customWidth="1"/>
    <col min="4631" max="4631" width="20" style="32" customWidth="1"/>
    <col min="4632" max="4636" width="15.6640625" style="32" customWidth="1"/>
    <col min="4637" max="4637" width="20.6640625" style="32" customWidth="1"/>
    <col min="4638" max="4638" width="20.44140625" style="32" customWidth="1"/>
    <col min="4639" max="4639" width="15.6640625" style="32" customWidth="1"/>
    <col min="4640" max="4640" width="20.6640625" style="32" customWidth="1"/>
    <col min="4641" max="4641" width="27.44140625" style="32" customWidth="1"/>
    <col min="4642" max="4881" width="11.44140625" style="32"/>
    <col min="4882" max="4882" width="6.6640625" style="32" customWidth="1"/>
    <col min="4883" max="4883" width="59" style="32" customWidth="1"/>
    <col min="4884" max="4886" width="20.6640625" style="32" customWidth="1"/>
    <col min="4887" max="4887" width="20" style="32" customWidth="1"/>
    <col min="4888" max="4892" width="15.6640625" style="32" customWidth="1"/>
    <col min="4893" max="4893" width="20.6640625" style="32" customWidth="1"/>
    <col min="4894" max="4894" width="20.44140625" style="32" customWidth="1"/>
    <col min="4895" max="4895" width="15.6640625" style="32" customWidth="1"/>
    <col min="4896" max="4896" width="20.6640625" style="32" customWidth="1"/>
    <col min="4897" max="4897" width="27.44140625" style="32" customWidth="1"/>
    <col min="4898" max="5136" width="9.109375" style="32"/>
    <col min="5137" max="5137" width="11.44140625" style="32"/>
    <col min="5138" max="5138" width="6.6640625" style="32" customWidth="1"/>
    <col min="5139" max="5139" width="59" style="32" customWidth="1"/>
    <col min="5140" max="5142" width="20.6640625" style="32" customWidth="1"/>
    <col min="5143" max="5143" width="20" style="32" customWidth="1"/>
    <col min="5144" max="5148" width="15.6640625" style="32" customWidth="1"/>
    <col min="5149" max="5149" width="20.6640625" style="32" customWidth="1"/>
    <col min="5150" max="5150" width="20.44140625" style="32" customWidth="1"/>
    <col min="5151" max="5151" width="15.6640625" style="32" customWidth="1"/>
    <col min="5152" max="5152" width="20.6640625" style="32" customWidth="1"/>
    <col min="5153" max="5153" width="27.44140625" style="32" customWidth="1"/>
    <col min="5154" max="5393" width="11.44140625" style="32"/>
    <col min="5394" max="5394" width="6.6640625" style="32" customWidth="1"/>
    <col min="5395" max="5395" width="59" style="32" customWidth="1"/>
    <col min="5396" max="5398" width="20.6640625" style="32" customWidth="1"/>
    <col min="5399" max="5399" width="20" style="32" customWidth="1"/>
    <col min="5400" max="5404" width="15.6640625" style="32" customWidth="1"/>
    <col min="5405" max="5405" width="20.6640625" style="32" customWidth="1"/>
    <col min="5406" max="5406" width="20.44140625" style="32" customWidth="1"/>
    <col min="5407" max="5407" width="15.6640625" style="32" customWidth="1"/>
    <col min="5408" max="5408" width="20.6640625" style="32" customWidth="1"/>
    <col min="5409" max="5409" width="27.44140625" style="32" customWidth="1"/>
    <col min="5410" max="5649" width="11.44140625" style="32"/>
    <col min="5650" max="5650" width="6.6640625" style="32" customWidth="1"/>
    <col min="5651" max="5651" width="59" style="32" customWidth="1"/>
    <col min="5652" max="5654" width="20.6640625" style="32" customWidth="1"/>
    <col min="5655" max="5655" width="20" style="32" customWidth="1"/>
    <col min="5656" max="5660" width="15.6640625" style="32" customWidth="1"/>
    <col min="5661" max="5661" width="20.6640625" style="32" customWidth="1"/>
    <col min="5662" max="5662" width="20.44140625" style="32" customWidth="1"/>
    <col min="5663" max="5663" width="15.6640625" style="32" customWidth="1"/>
    <col min="5664" max="5664" width="20.6640625" style="32" customWidth="1"/>
    <col min="5665" max="5665" width="27.44140625" style="32" customWidth="1"/>
    <col min="5666" max="5905" width="11.44140625" style="32"/>
    <col min="5906" max="5906" width="6.6640625" style="32" customWidth="1"/>
    <col min="5907" max="5907" width="59" style="32" customWidth="1"/>
    <col min="5908" max="5910" width="20.6640625" style="32" customWidth="1"/>
    <col min="5911" max="5911" width="20" style="32" customWidth="1"/>
    <col min="5912" max="5916" width="15.6640625" style="32" customWidth="1"/>
    <col min="5917" max="5917" width="20.6640625" style="32" customWidth="1"/>
    <col min="5918" max="5918" width="20.44140625" style="32" customWidth="1"/>
    <col min="5919" max="5919" width="15.6640625" style="32" customWidth="1"/>
    <col min="5920" max="5920" width="20.6640625" style="32" customWidth="1"/>
    <col min="5921" max="5921" width="27.44140625" style="32" customWidth="1"/>
    <col min="5922" max="6160" width="9.109375" style="32"/>
    <col min="6161" max="6161" width="11.44140625" style="32"/>
    <col min="6162" max="6162" width="6.6640625" style="32" customWidth="1"/>
    <col min="6163" max="6163" width="59" style="32" customWidth="1"/>
    <col min="6164" max="6166" width="20.6640625" style="32" customWidth="1"/>
    <col min="6167" max="6167" width="20" style="32" customWidth="1"/>
    <col min="6168" max="6172" width="15.6640625" style="32" customWidth="1"/>
    <col min="6173" max="6173" width="20.6640625" style="32" customWidth="1"/>
    <col min="6174" max="6174" width="20.44140625" style="32" customWidth="1"/>
    <col min="6175" max="6175" width="15.6640625" style="32" customWidth="1"/>
    <col min="6176" max="6176" width="20.6640625" style="32" customWidth="1"/>
    <col min="6177" max="6177" width="27.44140625" style="32" customWidth="1"/>
    <col min="6178" max="6417" width="11.44140625" style="32"/>
    <col min="6418" max="6418" width="6.6640625" style="32" customWidth="1"/>
    <col min="6419" max="6419" width="59" style="32" customWidth="1"/>
    <col min="6420" max="6422" width="20.6640625" style="32" customWidth="1"/>
    <col min="6423" max="6423" width="20" style="32" customWidth="1"/>
    <col min="6424" max="6428" width="15.6640625" style="32" customWidth="1"/>
    <col min="6429" max="6429" width="20.6640625" style="32" customWidth="1"/>
    <col min="6430" max="6430" width="20.44140625" style="32" customWidth="1"/>
    <col min="6431" max="6431" width="15.6640625" style="32" customWidth="1"/>
    <col min="6432" max="6432" width="20.6640625" style="32" customWidth="1"/>
    <col min="6433" max="6433" width="27.44140625" style="32" customWidth="1"/>
    <col min="6434" max="6673" width="11.44140625" style="32"/>
    <col min="6674" max="6674" width="6.6640625" style="32" customWidth="1"/>
    <col min="6675" max="6675" width="59" style="32" customWidth="1"/>
    <col min="6676" max="6678" width="20.6640625" style="32" customWidth="1"/>
    <col min="6679" max="6679" width="20" style="32" customWidth="1"/>
    <col min="6680" max="6684" width="15.6640625" style="32" customWidth="1"/>
    <col min="6685" max="6685" width="20.6640625" style="32" customWidth="1"/>
    <col min="6686" max="6686" width="20.44140625" style="32" customWidth="1"/>
    <col min="6687" max="6687" width="15.6640625" style="32" customWidth="1"/>
    <col min="6688" max="6688" width="20.6640625" style="32" customWidth="1"/>
    <col min="6689" max="6689" width="27.44140625" style="32" customWidth="1"/>
    <col min="6690" max="6929" width="11.44140625" style="32"/>
    <col min="6930" max="6930" width="6.6640625" style="32" customWidth="1"/>
    <col min="6931" max="6931" width="59" style="32" customWidth="1"/>
    <col min="6932" max="6934" width="20.6640625" style="32" customWidth="1"/>
    <col min="6935" max="6935" width="20" style="32" customWidth="1"/>
    <col min="6936" max="6940" width="15.6640625" style="32" customWidth="1"/>
    <col min="6941" max="6941" width="20.6640625" style="32" customWidth="1"/>
    <col min="6942" max="6942" width="20.44140625" style="32" customWidth="1"/>
    <col min="6943" max="6943" width="15.6640625" style="32" customWidth="1"/>
    <col min="6944" max="6944" width="20.6640625" style="32" customWidth="1"/>
    <col min="6945" max="6945" width="27.44140625" style="32" customWidth="1"/>
    <col min="6946" max="7184" width="9.109375" style="32"/>
    <col min="7185" max="7185" width="11.44140625" style="32"/>
    <col min="7186" max="7186" width="6.6640625" style="32" customWidth="1"/>
    <col min="7187" max="7187" width="59" style="32" customWidth="1"/>
    <col min="7188" max="7190" width="20.6640625" style="32" customWidth="1"/>
    <col min="7191" max="7191" width="20" style="32" customWidth="1"/>
    <col min="7192" max="7196" width="15.6640625" style="32" customWidth="1"/>
    <col min="7197" max="7197" width="20.6640625" style="32" customWidth="1"/>
    <col min="7198" max="7198" width="20.44140625" style="32" customWidth="1"/>
    <col min="7199" max="7199" width="15.6640625" style="32" customWidth="1"/>
    <col min="7200" max="7200" width="20.6640625" style="32" customWidth="1"/>
    <col min="7201" max="7201" width="27.44140625" style="32" customWidth="1"/>
    <col min="7202" max="7441" width="11.44140625" style="32"/>
    <col min="7442" max="7442" width="6.6640625" style="32" customWidth="1"/>
    <col min="7443" max="7443" width="59" style="32" customWidth="1"/>
    <col min="7444" max="7446" width="20.6640625" style="32" customWidth="1"/>
    <col min="7447" max="7447" width="20" style="32" customWidth="1"/>
    <col min="7448" max="7452" width="15.6640625" style="32" customWidth="1"/>
    <col min="7453" max="7453" width="20.6640625" style="32" customWidth="1"/>
    <col min="7454" max="7454" width="20.44140625" style="32" customWidth="1"/>
    <col min="7455" max="7455" width="15.6640625" style="32" customWidth="1"/>
    <col min="7456" max="7456" width="20.6640625" style="32" customWidth="1"/>
    <col min="7457" max="7457" width="27.44140625" style="32" customWidth="1"/>
    <col min="7458" max="7697" width="11.44140625" style="32"/>
    <col min="7698" max="7698" width="6.6640625" style="32" customWidth="1"/>
    <col min="7699" max="7699" width="59" style="32" customWidth="1"/>
    <col min="7700" max="7702" width="20.6640625" style="32" customWidth="1"/>
    <col min="7703" max="7703" width="20" style="32" customWidth="1"/>
    <col min="7704" max="7708" width="15.6640625" style="32" customWidth="1"/>
    <col min="7709" max="7709" width="20.6640625" style="32" customWidth="1"/>
    <col min="7710" max="7710" width="20.44140625" style="32" customWidth="1"/>
    <col min="7711" max="7711" width="15.6640625" style="32" customWidth="1"/>
    <col min="7712" max="7712" width="20.6640625" style="32" customWidth="1"/>
    <col min="7713" max="7713" width="27.44140625" style="32" customWidth="1"/>
    <col min="7714" max="7953" width="11.44140625" style="32"/>
    <col min="7954" max="7954" width="6.6640625" style="32" customWidth="1"/>
    <col min="7955" max="7955" width="59" style="32" customWidth="1"/>
    <col min="7956" max="7958" width="20.6640625" style="32" customWidth="1"/>
    <col min="7959" max="7959" width="20" style="32" customWidth="1"/>
    <col min="7960" max="7964" width="15.6640625" style="32" customWidth="1"/>
    <col min="7965" max="7965" width="20.6640625" style="32" customWidth="1"/>
    <col min="7966" max="7966" width="20.44140625" style="32" customWidth="1"/>
    <col min="7967" max="7967" width="15.6640625" style="32" customWidth="1"/>
    <col min="7968" max="7968" width="20.6640625" style="32" customWidth="1"/>
    <col min="7969" max="7969" width="27.44140625" style="32" customWidth="1"/>
    <col min="7970" max="8208" width="9.109375" style="32"/>
    <col min="8209" max="8209" width="11.44140625" style="32"/>
    <col min="8210" max="8210" width="6.6640625" style="32" customWidth="1"/>
    <col min="8211" max="8211" width="59" style="32" customWidth="1"/>
    <col min="8212" max="8214" width="20.6640625" style="32" customWidth="1"/>
    <col min="8215" max="8215" width="20" style="32" customWidth="1"/>
    <col min="8216" max="8220" width="15.6640625" style="32" customWidth="1"/>
    <col min="8221" max="8221" width="20.6640625" style="32" customWidth="1"/>
    <col min="8222" max="8222" width="20.44140625" style="32" customWidth="1"/>
    <col min="8223" max="8223" width="15.6640625" style="32" customWidth="1"/>
    <col min="8224" max="8224" width="20.6640625" style="32" customWidth="1"/>
    <col min="8225" max="8225" width="27.44140625" style="32" customWidth="1"/>
    <col min="8226" max="8465" width="11.44140625" style="32"/>
    <col min="8466" max="8466" width="6.6640625" style="32" customWidth="1"/>
    <col min="8467" max="8467" width="59" style="32" customWidth="1"/>
    <col min="8468" max="8470" width="20.6640625" style="32" customWidth="1"/>
    <col min="8471" max="8471" width="20" style="32" customWidth="1"/>
    <col min="8472" max="8476" width="15.6640625" style="32" customWidth="1"/>
    <col min="8477" max="8477" width="20.6640625" style="32" customWidth="1"/>
    <col min="8478" max="8478" width="20.44140625" style="32" customWidth="1"/>
    <col min="8479" max="8479" width="15.6640625" style="32" customWidth="1"/>
    <col min="8480" max="8480" width="20.6640625" style="32" customWidth="1"/>
    <col min="8481" max="8481" width="27.44140625" style="32" customWidth="1"/>
    <col min="8482" max="8721" width="11.44140625" style="32"/>
    <col min="8722" max="8722" width="6.6640625" style="32" customWidth="1"/>
    <col min="8723" max="8723" width="59" style="32" customWidth="1"/>
    <col min="8724" max="8726" width="20.6640625" style="32" customWidth="1"/>
    <col min="8727" max="8727" width="20" style="32" customWidth="1"/>
    <col min="8728" max="8732" width="15.6640625" style="32" customWidth="1"/>
    <col min="8733" max="8733" width="20.6640625" style="32" customWidth="1"/>
    <col min="8734" max="8734" width="20.44140625" style="32" customWidth="1"/>
    <col min="8735" max="8735" width="15.6640625" style="32" customWidth="1"/>
    <col min="8736" max="8736" width="20.6640625" style="32" customWidth="1"/>
    <col min="8737" max="8737" width="27.44140625" style="32" customWidth="1"/>
    <col min="8738" max="8977" width="11.44140625" style="32"/>
    <col min="8978" max="8978" width="6.6640625" style="32" customWidth="1"/>
    <col min="8979" max="8979" width="59" style="32" customWidth="1"/>
    <col min="8980" max="8982" width="20.6640625" style="32" customWidth="1"/>
    <col min="8983" max="8983" width="20" style="32" customWidth="1"/>
    <col min="8984" max="8988" width="15.6640625" style="32" customWidth="1"/>
    <col min="8989" max="8989" width="20.6640625" style="32" customWidth="1"/>
    <col min="8990" max="8990" width="20.44140625" style="32" customWidth="1"/>
    <col min="8991" max="8991" width="15.6640625" style="32" customWidth="1"/>
    <col min="8992" max="8992" width="20.6640625" style="32" customWidth="1"/>
    <col min="8993" max="8993" width="27.44140625" style="32" customWidth="1"/>
    <col min="8994" max="9232" width="9.109375" style="32"/>
    <col min="9233" max="9233" width="11.44140625" style="32"/>
    <col min="9234" max="9234" width="6.6640625" style="32" customWidth="1"/>
    <col min="9235" max="9235" width="59" style="32" customWidth="1"/>
    <col min="9236" max="9238" width="20.6640625" style="32" customWidth="1"/>
    <col min="9239" max="9239" width="20" style="32" customWidth="1"/>
    <col min="9240" max="9244" width="15.6640625" style="32" customWidth="1"/>
    <col min="9245" max="9245" width="20.6640625" style="32" customWidth="1"/>
    <col min="9246" max="9246" width="20.44140625" style="32" customWidth="1"/>
    <col min="9247" max="9247" width="15.6640625" style="32" customWidth="1"/>
    <col min="9248" max="9248" width="20.6640625" style="32" customWidth="1"/>
    <col min="9249" max="9249" width="27.44140625" style="32" customWidth="1"/>
    <col min="9250" max="9489" width="11.44140625" style="32"/>
    <col min="9490" max="9490" width="6.6640625" style="32" customWidth="1"/>
    <col min="9491" max="9491" width="59" style="32" customWidth="1"/>
    <col min="9492" max="9494" width="20.6640625" style="32" customWidth="1"/>
    <col min="9495" max="9495" width="20" style="32" customWidth="1"/>
    <col min="9496" max="9500" width="15.6640625" style="32" customWidth="1"/>
    <col min="9501" max="9501" width="20.6640625" style="32" customWidth="1"/>
    <col min="9502" max="9502" width="20.44140625" style="32" customWidth="1"/>
    <col min="9503" max="9503" width="15.6640625" style="32" customWidth="1"/>
    <col min="9504" max="9504" width="20.6640625" style="32" customWidth="1"/>
    <col min="9505" max="9505" width="27.44140625" style="32" customWidth="1"/>
    <col min="9506" max="9745" width="11.44140625" style="32"/>
    <col min="9746" max="9746" width="6.6640625" style="32" customWidth="1"/>
    <col min="9747" max="9747" width="59" style="32" customWidth="1"/>
    <col min="9748" max="9750" width="20.6640625" style="32" customWidth="1"/>
    <col min="9751" max="9751" width="20" style="32" customWidth="1"/>
    <col min="9752" max="9756" width="15.6640625" style="32" customWidth="1"/>
    <col min="9757" max="9757" width="20.6640625" style="32" customWidth="1"/>
    <col min="9758" max="9758" width="20.44140625" style="32" customWidth="1"/>
    <col min="9759" max="9759" width="15.6640625" style="32" customWidth="1"/>
    <col min="9760" max="9760" width="20.6640625" style="32" customWidth="1"/>
    <col min="9761" max="9761" width="27.44140625" style="32" customWidth="1"/>
    <col min="9762" max="10001" width="11.44140625" style="32"/>
    <col min="10002" max="10002" width="6.6640625" style="32" customWidth="1"/>
    <col min="10003" max="10003" width="59" style="32" customWidth="1"/>
    <col min="10004" max="10006" width="20.6640625" style="32" customWidth="1"/>
    <col min="10007" max="10007" width="20" style="32" customWidth="1"/>
    <col min="10008" max="10012" width="15.6640625" style="32" customWidth="1"/>
    <col min="10013" max="10013" width="20.6640625" style="32" customWidth="1"/>
    <col min="10014" max="10014" width="20.44140625" style="32" customWidth="1"/>
    <col min="10015" max="10015" width="15.6640625" style="32" customWidth="1"/>
    <col min="10016" max="10016" width="20.6640625" style="32" customWidth="1"/>
    <col min="10017" max="10017" width="27.44140625" style="32" customWidth="1"/>
    <col min="10018" max="10256" width="9.109375" style="32"/>
    <col min="10257" max="10257" width="11.44140625" style="32"/>
    <col min="10258" max="10258" width="6.6640625" style="32" customWidth="1"/>
    <col min="10259" max="10259" width="59" style="32" customWidth="1"/>
    <col min="10260" max="10262" width="20.6640625" style="32" customWidth="1"/>
    <col min="10263" max="10263" width="20" style="32" customWidth="1"/>
    <col min="10264" max="10268" width="15.6640625" style="32" customWidth="1"/>
    <col min="10269" max="10269" width="20.6640625" style="32" customWidth="1"/>
    <col min="10270" max="10270" width="20.44140625" style="32" customWidth="1"/>
    <col min="10271" max="10271" width="15.6640625" style="32" customWidth="1"/>
    <col min="10272" max="10272" width="20.6640625" style="32" customWidth="1"/>
    <col min="10273" max="10273" width="27.44140625" style="32" customWidth="1"/>
    <col min="10274" max="10513" width="11.44140625" style="32"/>
    <col min="10514" max="10514" width="6.6640625" style="32" customWidth="1"/>
    <col min="10515" max="10515" width="59" style="32" customWidth="1"/>
    <col min="10516" max="10518" width="20.6640625" style="32" customWidth="1"/>
    <col min="10519" max="10519" width="20" style="32" customWidth="1"/>
    <col min="10520" max="10524" width="15.6640625" style="32" customWidth="1"/>
    <col min="10525" max="10525" width="20.6640625" style="32" customWidth="1"/>
    <col min="10526" max="10526" width="20.44140625" style="32" customWidth="1"/>
    <col min="10527" max="10527" width="15.6640625" style="32" customWidth="1"/>
    <col min="10528" max="10528" width="20.6640625" style="32" customWidth="1"/>
    <col min="10529" max="10529" width="27.44140625" style="32" customWidth="1"/>
    <col min="10530" max="10769" width="11.44140625" style="32"/>
    <col min="10770" max="10770" width="6.6640625" style="32" customWidth="1"/>
    <col min="10771" max="10771" width="59" style="32" customWidth="1"/>
    <col min="10772" max="10774" width="20.6640625" style="32" customWidth="1"/>
    <col min="10775" max="10775" width="20" style="32" customWidth="1"/>
    <col min="10776" max="10780" width="15.6640625" style="32" customWidth="1"/>
    <col min="10781" max="10781" width="20.6640625" style="32" customWidth="1"/>
    <col min="10782" max="10782" width="20.44140625" style="32" customWidth="1"/>
    <col min="10783" max="10783" width="15.6640625" style="32" customWidth="1"/>
    <col min="10784" max="10784" width="20.6640625" style="32" customWidth="1"/>
    <col min="10785" max="10785" width="27.44140625" style="32" customWidth="1"/>
    <col min="10786" max="11025" width="11.44140625" style="32"/>
    <col min="11026" max="11026" width="6.6640625" style="32" customWidth="1"/>
    <col min="11027" max="11027" width="59" style="32" customWidth="1"/>
    <col min="11028" max="11030" width="20.6640625" style="32" customWidth="1"/>
    <col min="11031" max="11031" width="20" style="32" customWidth="1"/>
    <col min="11032" max="11036" width="15.6640625" style="32" customWidth="1"/>
    <col min="11037" max="11037" width="20.6640625" style="32" customWidth="1"/>
    <col min="11038" max="11038" width="20.44140625" style="32" customWidth="1"/>
    <col min="11039" max="11039" width="15.6640625" style="32" customWidth="1"/>
    <col min="11040" max="11040" width="20.6640625" style="32" customWidth="1"/>
    <col min="11041" max="11041" width="27.44140625" style="32" customWidth="1"/>
    <col min="11042" max="11280" width="9.109375" style="32"/>
    <col min="11281" max="11281" width="11.44140625" style="32"/>
    <col min="11282" max="11282" width="6.6640625" style="32" customWidth="1"/>
    <col min="11283" max="11283" width="59" style="32" customWidth="1"/>
    <col min="11284" max="11286" width="20.6640625" style="32" customWidth="1"/>
    <col min="11287" max="11287" width="20" style="32" customWidth="1"/>
    <col min="11288" max="11292" width="15.6640625" style="32" customWidth="1"/>
    <col min="11293" max="11293" width="20.6640625" style="32" customWidth="1"/>
    <col min="11294" max="11294" width="20.44140625" style="32" customWidth="1"/>
    <col min="11295" max="11295" width="15.6640625" style="32" customWidth="1"/>
    <col min="11296" max="11296" width="20.6640625" style="32" customWidth="1"/>
    <col min="11297" max="11297" width="27.44140625" style="32" customWidth="1"/>
    <col min="11298" max="11537" width="11.44140625" style="32"/>
    <col min="11538" max="11538" width="6.6640625" style="32" customWidth="1"/>
    <col min="11539" max="11539" width="59" style="32" customWidth="1"/>
    <col min="11540" max="11542" width="20.6640625" style="32" customWidth="1"/>
    <col min="11543" max="11543" width="20" style="32" customWidth="1"/>
    <col min="11544" max="11548" width="15.6640625" style="32" customWidth="1"/>
    <col min="11549" max="11549" width="20.6640625" style="32" customWidth="1"/>
    <col min="11550" max="11550" width="20.44140625" style="32" customWidth="1"/>
    <col min="11551" max="11551" width="15.6640625" style="32" customWidth="1"/>
    <col min="11552" max="11552" width="20.6640625" style="32" customWidth="1"/>
    <col min="11553" max="11553" width="27.44140625" style="32" customWidth="1"/>
    <col min="11554" max="11793" width="11.44140625" style="32"/>
    <col min="11794" max="11794" width="6.6640625" style="32" customWidth="1"/>
    <col min="11795" max="11795" width="59" style="32" customWidth="1"/>
    <col min="11796" max="11798" width="20.6640625" style="32" customWidth="1"/>
    <col min="11799" max="11799" width="20" style="32" customWidth="1"/>
    <col min="11800" max="11804" width="15.6640625" style="32" customWidth="1"/>
    <col min="11805" max="11805" width="20.6640625" style="32" customWidth="1"/>
    <col min="11806" max="11806" width="20.44140625" style="32" customWidth="1"/>
    <col min="11807" max="11807" width="15.6640625" style="32" customWidth="1"/>
    <col min="11808" max="11808" width="20.6640625" style="32" customWidth="1"/>
    <col min="11809" max="11809" width="27.44140625" style="32" customWidth="1"/>
    <col min="11810" max="12049" width="11.44140625" style="32"/>
    <col min="12050" max="12050" width="6.6640625" style="32" customWidth="1"/>
    <col min="12051" max="12051" width="59" style="32" customWidth="1"/>
    <col min="12052" max="12054" width="20.6640625" style="32" customWidth="1"/>
    <col min="12055" max="12055" width="20" style="32" customWidth="1"/>
    <col min="12056" max="12060" width="15.6640625" style="32" customWidth="1"/>
    <col min="12061" max="12061" width="20.6640625" style="32" customWidth="1"/>
    <col min="12062" max="12062" width="20.44140625" style="32" customWidth="1"/>
    <col min="12063" max="12063" width="15.6640625" style="32" customWidth="1"/>
    <col min="12064" max="12064" width="20.6640625" style="32" customWidth="1"/>
    <col min="12065" max="12065" width="27.44140625" style="32" customWidth="1"/>
    <col min="12066" max="12304" width="9.109375" style="32"/>
    <col min="12305" max="12305" width="11.44140625" style="32"/>
    <col min="12306" max="12306" width="6.6640625" style="32" customWidth="1"/>
    <col min="12307" max="12307" width="59" style="32" customWidth="1"/>
    <col min="12308" max="12310" width="20.6640625" style="32" customWidth="1"/>
    <col min="12311" max="12311" width="20" style="32" customWidth="1"/>
    <col min="12312" max="12316" width="15.6640625" style="32" customWidth="1"/>
    <col min="12317" max="12317" width="20.6640625" style="32" customWidth="1"/>
    <col min="12318" max="12318" width="20.44140625" style="32" customWidth="1"/>
    <col min="12319" max="12319" width="15.6640625" style="32" customWidth="1"/>
    <col min="12320" max="12320" width="20.6640625" style="32" customWidth="1"/>
    <col min="12321" max="12321" width="27.44140625" style="32" customWidth="1"/>
    <col min="12322" max="12561" width="11.44140625" style="32"/>
    <col min="12562" max="12562" width="6.6640625" style="32" customWidth="1"/>
    <col min="12563" max="12563" width="59" style="32" customWidth="1"/>
    <col min="12564" max="12566" width="20.6640625" style="32" customWidth="1"/>
    <col min="12567" max="12567" width="20" style="32" customWidth="1"/>
    <col min="12568" max="12572" width="15.6640625" style="32" customWidth="1"/>
    <col min="12573" max="12573" width="20.6640625" style="32" customWidth="1"/>
    <col min="12574" max="12574" width="20.44140625" style="32" customWidth="1"/>
    <col min="12575" max="12575" width="15.6640625" style="32" customWidth="1"/>
    <col min="12576" max="12576" width="20.6640625" style="32" customWidth="1"/>
    <col min="12577" max="12577" width="27.44140625" style="32" customWidth="1"/>
    <col min="12578" max="12817" width="11.44140625" style="32"/>
    <col min="12818" max="12818" width="6.6640625" style="32" customWidth="1"/>
    <col min="12819" max="12819" width="59" style="32" customWidth="1"/>
    <col min="12820" max="12822" width="20.6640625" style="32" customWidth="1"/>
    <col min="12823" max="12823" width="20" style="32" customWidth="1"/>
    <col min="12824" max="12828" width="15.6640625" style="32" customWidth="1"/>
    <col min="12829" max="12829" width="20.6640625" style="32" customWidth="1"/>
    <col min="12830" max="12830" width="20.44140625" style="32" customWidth="1"/>
    <col min="12831" max="12831" width="15.6640625" style="32" customWidth="1"/>
    <col min="12832" max="12832" width="20.6640625" style="32" customWidth="1"/>
    <col min="12833" max="12833" width="27.44140625" style="32" customWidth="1"/>
    <col min="12834" max="13073" width="11.44140625" style="32"/>
    <col min="13074" max="13074" width="6.6640625" style="32" customWidth="1"/>
    <col min="13075" max="13075" width="59" style="32" customWidth="1"/>
    <col min="13076" max="13078" width="20.6640625" style="32" customWidth="1"/>
    <col min="13079" max="13079" width="20" style="32" customWidth="1"/>
    <col min="13080" max="13084" width="15.6640625" style="32" customWidth="1"/>
    <col min="13085" max="13085" width="20.6640625" style="32" customWidth="1"/>
    <col min="13086" max="13086" width="20.44140625" style="32" customWidth="1"/>
    <col min="13087" max="13087" width="15.6640625" style="32" customWidth="1"/>
    <col min="13088" max="13088" width="20.6640625" style="32" customWidth="1"/>
    <col min="13089" max="13089" width="27.44140625" style="32" customWidth="1"/>
    <col min="13090" max="13328" width="9.109375" style="32"/>
    <col min="13329" max="13329" width="11.44140625" style="32"/>
    <col min="13330" max="13330" width="6.6640625" style="32" customWidth="1"/>
    <col min="13331" max="13331" width="59" style="32" customWidth="1"/>
    <col min="13332" max="13334" width="20.6640625" style="32" customWidth="1"/>
    <col min="13335" max="13335" width="20" style="32" customWidth="1"/>
    <col min="13336" max="13340" width="15.6640625" style="32" customWidth="1"/>
    <col min="13341" max="13341" width="20.6640625" style="32" customWidth="1"/>
    <col min="13342" max="13342" width="20.44140625" style="32" customWidth="1"/>
    <col min="13343" max="13343" width="15.6640625" style="32" customWidth="1"/>
    <col min="13344" max="13344" width="20.6640625" style="32" customWidth="1"/>
    <col min="13345" max="13345" width="27.44140625" style="32" customWidth="1"/>
    <col min="13346" max="13585" width="11.44140625" style="32"/>
    <col min="13586" max="13586" width="6.6640625" style="32" customWidth="1"/>
    <col min="13587" max="13587" width="59" style="32" customWidth="1"/>
    <col min="13588" max="13590" width="20.6640625" style="32" customWidth="1"/>
    <col min="13591" max="13591" width="20" style="32" customWidth="1"/>
    <col min="13592" max="13596" width="15.6640625" style="32" customWidth="1"/>
    <col min="13597" max="13597" width="20.6640625" style="32" customWidth="1"/>
    <col min="13598" max="13598" width="20.44140625" style="32" customWidth="1"/>
    <col min="13599" max="13599" width="15.6640625" style="32" customWidth="1"/>
    <col min="13600" max="13600" width="20.6640625" style="32" customWidth="1"/>
    <col min="13601" max="13601" width="27.44140625" style="32" customWidth="1"/>
    <col min="13602" max="13841" width="11.44140625" style="32"/>
    <col min="13842" max="13842" width="6.6640625" style="32" customWidth="1"/>
    <col min="13843" max="13843" width="59" style="32" customWidth="1"/>
    <col min="13844" max="13846" width="20.6640625" style="32" customWidth="1"/>
    <col min="13847" max="13847" width="20" style="32" customWidth="1"/>
    <col min="13848" max="13852" width="15.6640625" style="32" customWidth="1"/>
    <col min="13853" max="13853" width="20.6640625" style="32" customWidth="1"/>
    <col min="13854" max="13854" width="20.44140625" style="32" customWidth="1"/>
    <col min="13855" max="13855" width="15.6640625" style="32" customWidth="1"/>
    <col min="13856" max="13856" width="20.6640625" style="32" customWidth="1"/>
    <col min="13857" max="13857" width="27.44140625" style="32" customWidth="1"/>
    <col min="13858" max="14097" width="11.44140625" style="32"/>
    <col min="14098" max="14098" width="6.6640625" style="32" customWidth="1"/>
    <col min="14099" max="14099" width="59" style="32" customWidth="1"/>
    <col min="14100" max="14102" width="20.6640625" style="32" customWidth="1"/>
    <col min="14103" max="14103" width="20" style="32" customWidth="1"/>
    <col min="14104" max="14108" width="15.6640625" style="32" customWidth="1"/>
    <col min="14109" max="14109" width="20.6640625" style="32" customWidth="1"/>
    <col min="14110" max="14110" width="20.44140625" style="32" customWidth="1"/>
    <col min="14111" max="14111" width="15.6640625" style="32" customWidth="1"/>
    <col min="14112" max="14112" width="20.6640625" style="32" customWidth="1"/>
    <col min="14113" max="14113" width="27.44140625" style="32" customWidth="1"/>
    <col min="14114" max="14352" width="9.109375" style="32"/>
    <col min="14353" max="14353" width="11.44140625" style="32"/>
    <col min="14354" max="14354" width="6.6640625" style="32" customWidth="1"/>
    <col min="14355" max="14355" width="59" style="32" customWidth="1"/>
    <col min="14356" max="14358" width="20.6640625" style="32" customWidth="1"/>
    <col min="14359" max="14359" width="20" style="32" customWidth="1"/>
    <col min="14360" max="14364" width="15.6640625" style="32" customWidth="1"/>
    <col min="14365" max="14365" width="20.6640625" style="32" customWidth="1"/>
    <col min="14366" max="14366" width="20.44140625" style="32" customWidth="1"/>
    <col min="14367" max="14367" width="15.6640625" style="32" customWidth="1"/>
    <col min="14368" max="14368" width="20.6640625" style="32" customWidth="1"/>
    <col min="14369" max="14369" width="27.44140625" style="32" customWidth="1"/>
    <col min="14370" max="14609" width="11.44140625" style="32"/>
    <col min="14610" max="14610" width="6.6640625" style="32" customWidth="1"/>
    <col min="14611" max="14611" width="59" style="32" customWidth="1"/>
    <col min="14612" max="14614" width="20.6640625" style="32" customWidth="1"/>
    <col min="14615" max="14615" width="20" style="32" customWidth="1"/>
    <col min="14616" max="14620" width="15.6640625" style="32" customWidth="1"/>
    <col min="14621" max="14621" width="20.6640625" style="32" customWidth="1"/>
    <col min="14622" max="14622" width="20.44140625" style="32" customWidth="1"/>
    <col min="14623" max="14623" width="15.6640625" style="32" customWidth="1"/>
    <col min="14624" max="14624" width="20.6640625" style="32" customWidth="1"/>
    <col min="14625" max="14625" width="27.44140625" style="32" customWidth="1"/>
    <col min="14626" max="14865" width="11.44140625" style="32"/>
    <col min="14866" max="14866" width="6.6640625" style="32" customWidth="1"/>
    <col min="14867" max="14867" width="59" style="32" customWidth="1"/>
    <col min="14868" max="14870" width="20.6640625" style="32" customWidth="1"/>
    <col min="14871" max="14871" width="20" style="32" customWidth="1"/>
    <col min="14872" max="14876" width="15.6640625" style="32" customWidth="1"/>
    <col min="14877" max="14877" width="20.6640625" style="32" customWidth="1"/>
    <col min="14878" max="14878" width="20.44140625" style="32" customWidth="1"/>
    <col min="14879" max="14879" width="15.6640625" style="32" customWidth="1"/>
    <col min="14880" max="14880" width="20.6640625" style="32" customWidth="1"/>
    <col min="14881" max="14881" width="27.44140625" style="32" customWidth="1"/>
    <col min="14882" max="15121" width="11.44140625" style="32"/>
    <col min="15122" max="15122" width="6.6640625" style="32" customWidth="1"/>
    <col min="15123" max="15123" width="59" style="32" customWidth="1"/>
    <col min="15124" max="15126" width="20.6640625" style="32" customWidth="1"/>
    <col min="15127" max="15127" width="20" style="32" customWidth="1"/>
    <col min="15128" max="15132" width="15.6640625" style="32" customWidth="1"/>
    <col min="15133" max="15133" width="20.6640625" style="32" customWidth="1"/>
    <col min="15134" max="15134" width="20.44140625" style="32" customWidth="1"/>
    <col min="15135" max="15135" width="15.6640625" style="32" customWidth="1"/>
    <col min="15136" max="15136" width="20.6640625" style="32" customWidth="1"/>
    <col min="15137" max="15137" width="27.44140625" style="32" customWidth="1"/>
    <col min="15138" max="15376" width="9.109375" style="32"/>
    <col min="15377" max="15377" width="11.44140625" style="32"/>
    <col min="15378" max="15378" width="6.6640625" style="32" customWidth="1"/>
    <col min="15379" max="15379" width="59" style="32" customWidth="1"/>
    <col min="15380" max="15382" width="20.6640625" style="32" customWidth="1"/>
    <col min="15383" max="15383" width="20" style="32" customWidth="1"/>
    <col min="15384" max="15388" width="15.6640625" style="32" customWidth="1"/>
    <col min="15389" max="15389" width="20.6640625" style="32" customWidth="1"/>
    <col min="15390" max="15390" width="20.44140625" style="32" customWidth="1"/>
    <col min="15391" max="15391" width="15.6640625" style="32" customWidth="1"/>
    <col min="15392" max="15392" width="20.6640625" style="32" customWidth="1"/>
    <col min="15393" max="15393" width="27.44140625" style="32" customWidth="1"/>
    <col min="15394" max="15633" width="11.44140625" style="32"/>
    <col min="15634" max="15634" width="6.6640625" style="32" customWidth="1"/>
    <col min="15635" max="15635" width="59" style="32" customWidth="1"/>
    <col min="15636" max="15638" width="20.6640625" style="32" customWidth="1"/>
    <col min="15639" max="15639" width="20" style="32" customWidth="1"/>
    <col min="15640" max="15644" width="15.6640625" style="32" customWidth="1"/>
    <col min="15645" max="15645" width="20.6640625" style="32" customWidth="1"/>
    <col min="15646" max="15646" width="20.44140625" style="32" customWidth="1"/>
    <col min="15647" max="15647" width="15.6640625" style="32" customWidth="1"/>
    <col min="15648" max="15648" width="20.6640625" style="32" customWidth="1"/>
    <col min="15649" max="15649" width="27.44140625" style="32" customWidth="1"/>
    <col min="15650" max="15889" width="11.44140625" style="32"/>
    <col min="15890" max="15890" width="6.6640625" style="32" customWidth="1"/>
    <col min="15891" max="15891" width="59" style="32" customWidth="1"/>
    <col min="15892" max="15894" width="20.6640625" style="32" customWidth="1"/>
    <col min="15895" max="15895" width="20" style="32" customWidth="1"/>
    <col min="15896" max="15900" width="15.6640625" style="32" customWidth="1"/>
    <col min="15901" max="15901" width="20.6640625" style="32" customWidth="1"/>
    <col min="15902" max="15902" width="20.44140625" style="32" customWidth="1"/>
    <col min="15903" max="15903" width="15.6640625" style="32" customWidth="1"/>
    <col min="15904" max="15904" width="20.6640625" style="32" customWidth="1"/>
    <col min="15905" max="15905" width="27.44140625" style="32" customWidth="1"/>
    <col min="15906" max="16145" width="11.44140625" style="32"/>
    <col min="16146" max="16146" width="6.6640625" style="32" customWidth="1"/>
    <col min="16147" max="16147" width="59" style="32" customWidth="1"/>
    <col min="16148" max="16150" width="20.6640625" style="32" customWidth="1"/>
    <col min="16151" max="16151" width="20" style="32" customWidth="1"/>
    <col min="16152" max="16156" width="15.6640625" style="32" customWidth="1"/>
    <col min="16157" max="16157" width="20.6640625" style="32" customWidth="1"/>
    <col min="16158" max="16158" width="20.44140625" style="32" customWidth="1"/>
    <col min="16159" max="16159" width="15.6640625" style="32" customWidth="1"/>
    <col min="16160" max="16160" width="20.6640625" style="32" customWidth="1"/>
    <col min="16161" max="16161" width="27.44140625" style="32" customWidth="1"/>
    <col min="16162" max="16378" width="9.109375" style="32"/>
    <col min="16379" max="16384" width="9.109375" style="32" customWidth="1"/>
  </cols>
  <sheetData>
    <row r="1" spans="1:56" ht="28.5" customHeight="1">
      <c r="A1" s="559" t="s">
        <v>257</v>
      </c>
      <c r="B1" s="559"/>
      <c r="C1" s="559"/>
      <c r="D1" s="559"/>
      <c r="E1" s="559"/>
      <c r="F1" s="559"/>
      <c r="G1" s="559"/>
      <c r="H1" s="559"/>
      <c r="I1" s="559"/>
      <c r="J1" s="559"/>
      <c r="K1" s="559"/>
      <c r="L1" s="559"/>
      <c r="M1" s="559"/>
      <c r="N1" s="559"/>
      <c r="O1" s="559"/>
      <c r="P1" s="559"/>
      <c r="Q1" s="559"/>
      <c r="R1" s="559"/>
      <c r="S1" s="559"/>
      <c r="T1" s="559"/>
      <c r="U1" s="559"/>
      <c r="V1" s="559"/>
      <c r="W1" s="559"/>
      <c r="X1" s="559"/>
      <c r="Y1" s="559"/>
      <c r="Z1" s="559"/>
      <c r="AA1" s="559"/>
      <c r="AB1" s="144"/>
      <c r="AC1" s="144"/>
    </row>
    <row r="2" spans="1:56" ht="35.1" customHeight="1">
      <c r="A2" s="560" t="s">
        <v>724</v>
      </c>
      <c r="B2" s="560"/>
      <c r="C2" s="560"/>
      <c r="D2" s="560"/>
      <c r="E2" s="560"/>
      <c r="F2" s="560"/>
      <c r="G2" s="560"/>
      <c r="H2" s="560"/>
      <c r="I2" s="560"/>
      <c r="J2" s="560"/>
      <c r="K2" s="560"/>
      <c r="L2" s="560"/>
      <c r="M2" s="560"/>
      <c r="N2" s="560"/>
      <c r="O2" s="560"/>
      <c r="P2" s="560"/>
      <c r="Q2" s="560"/>
      <c r="R2" s="560"/>
      <c r="S2" s="560"/>
      <c r="T2" s="560"/>
      <c r="U2" s="560"/>
      <c r="V2" s="560"/>
      <c r="W2" s="560"/>
      <c r="X2" s="560"/>
      <c r="Y2" s="560"/>
      <c r="Z2" s="560"/>
      <c r="AA2" s="560"/>
      <c r="AB2" s="231"/>
      <c r="AC2" s="145"/>
    </row>
    <row r="3" spans="1:56" ht="35.1" customHeight="1">
      <c r="A3" s="560" t="s">
        <v>725</v>
      </c>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c r="AB3" s="231"/>
      <c r="AC3" s="145"/>
    </row>
    <row r="4" spans="1:56" ht="55.5" customHeight="1">
      <c r="A4" s="561" t="s">
        <v>292</v>
      </c>
      <c r="B4" s="561"/>
      <c r="C4" s="561"/>
      <c r="D4" s="561"/>
      <c r="E4" s="561"/>
      <c r="F4" s="561"/>
      <c r="G4" s="561"/>
      <c r="H4" s="561"/>
      <c r="I4" s="561"/>
      <c r="J4" s="561"/>
      <c r="K4" s="561"/>
      <c r="L4" s="561"/>
      <c r="M4" s="561"/>
      <c r="N4" s="561"/>
      <c r="O4" s="561"/>
      <c r="P4" s="561"/>
      <c r="Q4" s="561"/>
      <c r="R4" s="561"/>
      <c r="S4" s="561"/>
      <c r="T4" s="561"/>
      <c r="U4" s="561"/>
      <c r="V4" s="561"/>
      <c r="W4" s="561"/>
      <c r="X4" s="561"/>
      <c r="Y4" s="561"/>
      <c r="Z4" s="561"/>
      <c r="AA4" s="561"/>
      <c r="AB4" s="232"/>
      <c r="AC4" s="145"/>
    </row>
    <row r="5" spans="1:56" ht="39.9" customHeight="1">
      <c r="A5" s="562" t="str">
        <f>'3. XSKT'!A4:AA4</f>
        <v>(Ban hành kèm theo Quyết định số: 2631/QĐ-UBND ngày 19/12 /2024 của Ủy ban nhân dân tỉnh)</v>
      </c>
      <c r="B5" s="562"/>
      <c r="C5" s="562"/>
      <c r="D5" s="562"/>
      <c r="E5" s="562"/>
      <c r="F5" s="562"/>
      <c r="G5" s="562"/>
      <c r="H5" s="562"/>
      <c r="I5" s="562"/>
      <c r="J5" s="562"/>
      <c r="K5" s="562"/>
      <c r="L5" s="562"/>
      <c r="M5" s="562"/>
      <c r="N5" s="562"/>
      <c r="O5" s="562"/>
      <c r="P5" s="562"/>
      <c r="Q5" s="562"/>
      <c r="R5" s="562"/>
      <c r="S5" s="562"/>
      <c r="T5" s="562"/>
      <c r="U5" s="562"/>
      <c r="V5" s="562"/>
      <c r="W5" s="562"/>
      <c r="X5" s="562"/>
      <c r="Y5" s="562"/>
      <c r="Z5" s="562"/>
      <c r="AA5" s="562"/>
      <c r="AB5" s="233"/>
      <c r="AC5" s="145"/>
    </row>
    <row r="6" spans="1:56" ht="33.75" customHeight="1">
      <c r="J6" s="54"/>
      <c r="K6" s="54"/>
      <c r="L6" s="56"/>
      <c r="M6" s="56"/>
      <c r="N6" s="56"/>
      <c r="O6" s="56"/>
      <c r="P6" s="56"/>
      <c r="Q6" s="56"/>
      <c r="R6" s="56"/>
      <c r="S6" s="56"/>
      <c r="T6" s="56"/>
      <c r="U6" s="56"/>
      <c r="V6" s="54"/>
      <c r="W6" s="54"/>
      <c r="X6" s="56"/>
      <c r="Y6" s="56"/>
      <c r="Z6" s="56"/>
      <c r="AA6" s="146" t="s">
        <v>0</v>
      </c>
      <c r="AB6" s="146"/>
      <c r="AC6" s="146"/>
    </row>
    <row r="7" spans="1:56" ht="69" customHeight="1">
      <c r="A7" s="558" t="s">
        <v>1</v>
      </c>
      <c r="B7" s="558" t="s">
        <v>117</v>
      </c>
      <c r="C7" s="558" t="s">
        <v>3</v>
      </c>
      <c r="D7" s="558" t="s">
        <v>321</v>
      </c>
      <c r="E7" s="558" t="s">
        <v>4</v>
      </c>
      <c r="F7" s="558" t="s">
        <v>5</v>
      </c>
      <c r="G7" s="563" t="s">
        <v>600</v>
      </c>
      <c r="H7" s="563"/>
      <c r="I7" s="563"/>
      <c r="J7" s="552" t="s">
        <v>850</v>
      </c>
      <c r="K7" s="180" t="s">
        <v>711</v>
      </c>
      <c r="L7" s="180" t="s">
        <v>712</v>
      </c>
      <c r="M7" s="180" t="s">
        <v>713</v>
      </c>
      <c r="N7" s="180" t="s">
        <v>714</v>
      </c>
      <c r="O7" s="180" t="s">
        <v>715</v>
      </c>
      <c r="P7" s="180" t="s">
        <v>716</v>
      </c>
      <c r="Q7" s="180" t="s">
        <v>717</v>
      </c>
      <c r="R7" s="180" t="s">
        <v>718</v>
      </c>
      <c r="S7" s="180" t="s">
        <v>719</v>
      </c>
      <c r="T7" s="180" t="s">
        <v>720</v>
      </c>
      <c r="U7" s="536" t="s">
        <v>849</v>
      </c>
      <c r="V7" s="537"/>
      <c r="W7" s="537"/>
      <c r="X7" s="537"/>
      <c r="Y7" s="537"/>
      <c r="Z7" s="547" t="s">
        <v>678</v>
      </c>
      <c r="AA7" s="558" t="s">
        <v>6</v>
      </c>
      <c r="AB7" s="564" t="s">
        <v>892</v>
      </c>
      <c r="AC7" s="147"/>
      <c r="AD7" s="557" t="s">
        <v>9</v>
      </c>
      <c r="AE7" s="557" t="s">
        <v>60</v>
      </c>
      <c r="AF7" s="557" t="s">
        <v>61</v>
      </c>
      <c r="AG7" s="31"/>
      <c r="AH7" s="31" t="s">
        <v>269</v>
      </c>
      <c r="AI7" s="31" t="s">
        <v>270</v>
      </c>
      <c r="AJ7" s="32" t="s">
        <v>271</v>
      </c>
      <c r="AK7" s="32" t="s">
        <v>376</v>
      </c>
      <c r="AL7" s="32" t="s">
        <v>378</v>
      </c>
      <c r="AM7" s="32" t="s">
        <v>377</v>
      </c>
      <c r="AO7" s="32" t="s">
        <v>272</v>
      </c>
      <c r="AP7" s="31" t="s">
        <v>273</v>
      </c>
      <c r="AQ7" s="31" t="s">
        <v>274</v>
      </c>
      <c r="AR7" s="31" t="s">
        <v>275</v>
      </c>
      <c r="AS7" s="31" t="s">
        <v>276</v>
      </c>
      <c r="AT7" s="31" t="s">
        <v>277</v>
      </c>
      <c r="AU7" s="31" t="s">
        <v>278</v>
      </c>
      <c r="AV7" s="31" t="s">
        <v>279</v>
      </c>
      <c r="AW7" s="31" t="s">
        <v>280</v>
      </c>
      <c r="AX7" s="31" t="s">
        <v>281</v>
      </c>
      <c r="AY7" s="31" t="s">
        <v>282</v>
      </c>
      <c r="AZ7" s="31" t="s">
        <v>283</v>
      </c>
      <c r="BA7" s="31" t="s">
        <v>284</v>
      </c>
      <c r="BB7" s="31" t="s">
        <v>285</v>
      </c>
      <c r="BC7" s="31" t="s">
        <v>286</v>
      </c>
    </row>
    <row r="8" spans="1:56" ht="39.9" customHeight="1">
      <c r="A8" s="558"/>
      <c r="B8" s="558"/>
      <c r="C8" s="558"/>
      <c r="D8" s="558"/>
      <c r="E8" s="558"/>
      <c r="F8" s="558"/>
      <c r="G8" s="558" t="s">
        <v>120</v>
      </c>
      <c r="H8" s="543" t="s">
        <v>8</v>
      </c>
      <c r="I8" s="543"/>
      <c r="J8" s="553"/>
      <c r="K8" s="547" t="s">
        <v>355</v>
      </c>
      <c r="L8" s="536" t="s">
        <v>356</v>
      </c>
      <c r="M8" s="537"/>
      <c r="N8" s="537"/>
      <c r="O8" s="537"/>
      <c r="P8" s="537"/>
      <c r="Q8" s="537"/>
      <c r="R8" s="537"/>
      <c r="S8" s="537"/>
      <c r="T8" s="538"/>
      <c r="U8" s="543" t="s">
        <v>9</v>
      </c>
      <c r="V8" s="536" t="s">
        <v>10</v>
      </c>
      <c r="W8" s="537"/>
      <c r="X8" s="537"/>
      <c r="Y8" s="537"/>
      <c r="Z8" s="551"/>
      <c r="AA8" s="558"/>
      <c r="AB8" s="565"/>
      <c r="AC8" s="147"/>
      <c r="AD8" s="557"/>
      <c r="AE8" s="557"/>
      <c r="AF8" s="557"/>
      <c r="AG8" s="31"/>
      <c r="AH8" s="31"/>
      <c r="AI8" s="31"/>
      <c r="AK8" s="32">
        <f>SUMIF($AK$10:$AK$758,AK7,$AJ$10:$AJ$758)</f>
        <v>0</v>
      </c>
      <c r="AL8" s="32">
        <f>SUMIF($AK$10:$AK$758,AL7,$AJ$10:$AJ$758)</f>
        <v>141400</v>
      </c>
      <c r="AM8" s="32">
        <f>SUMIF($AK$10:$AK$758,AM7,$AJ$10:$AJ$758)</f>
        <v>0</v>
      </c>
      <c r="AN8" s="33" t="s">
        <v>287</v>
      </c>
      <c r="AO8" s="32">
        <f>COUNTIF(AH10:AH749,"CT")</f>
        <v>0</v>
      </c>
      <c r="AP8" s="58">
        <f>SUMIF(AH10:AH749,"CT",AJ10:AJ749)</f>
        <v>0</v>
      </c>
      <c r="AQ8" s="58">
        <f>SUMIFS($AJ$10:$AJ$85,$AH$10:$AH$85,"CT",$AI$10:$AI$85,"GT")</f>
        <v>0</v>
      </c>
      <c r="AR8" s="58">
        <f>SUMIFS($AJ$10:$AJ$85,$AH$10:$AH$85,"CT",$AI$10:$AI$85,"NN-TL")</f>
        <v>0</v>
      </c>
      <c r="AS8" s="58">
        <f>SUMIFS($AJ$10:$AJ$85,$AH$10:$AH$85,"CT",$AI$10:$AI$85,"GDĐT")</f>
        <v>0</v>
      </c>
      <c r="AT8" s="58">
        <f>SUMIFS($AJ$10:$AJ$85,$AH$10:$AH$85,"CT",$AI$10:$AI$85,"YT")</f>
        <v>0</v>
      </c>
      <c r="AU8" s="58">
        <f>SUMIFS($AJ$10:$AJ$85,$AH$10:$AH$85,"CT",$AI$10:$AI$85,"VH")</f>
        <v>0</v>
      </c>
      <c r="AV8" s="58">
        <f>SUMIFS($AJ$10:$AJ$85,$AH$10:$AH$85,"CT",$AI$10:$AI$85,"TTTT")</f>
        <v>0</v>
      </c>
      <c r="AW8" s="58">
        <f>SUMIFS($AJ$10:$AJ$85,$AH$10:$AH$85,"CT",$AI$10:$AI$85,"XH-CC")</f>
        <v>0</v>
      </c>
      <c r="AX8" s="58">
        <f>SUMIFS($AJ$10:$AJ$85,$AH$10:$AH$85,"CT",$AI$10:$AI$85,"NS")</f>
        <v>0</v>
      </c>
      <c r="AY8" s="58">
        <f>SUMIFS($AJ$10:$AJ$85,$AH$10:$AH$85,"CT",$AI$10:$AI$85,"TNMT")</f>
        <v>0</v>
      </c>
      <c r="AZ8" s="58">
        <f>SUMIFS($AJ$10:$AJ$85,$AH$10:$AH$85,"CT",$AI$10:$AI$85,"QLNN")</f>
        <v>0</v>
      </c>
      <c r="BA8" s="58">
        <f>SUMIFS($AJ$10:$AJ$85,$AH$10:$AH$85,"CT",$AI$10:$AI$85,"QPAN")</f>
        <v>0</v>
      </c>
      <c r="BB8" s="58">
        <f>SUMIFS($AJ$10:$AJ$85,$AH$10:$AH$85,"CT",$AI$10:$AI$85,"PTĐT")</f>
        <v>0</v>
      </c>
      <c r="BC8" s="58">
        <f>SUMIFS($AJ$10:$AJ$85,$AH$10:$AH$85,"CT",$AI$10:$AI$85,"TMDV")</f>
        <v>0</v>
      </c>
      <c r="BD8" s="33">
        <f>SUM(AQ8:BC8)</f>
        <v>0</v>
      </c>
    </row>
    <row r="9" spans="1:56" ht="76.5" customHeight="1">
      <c r="A9" s="558"/>
      <c r="B9" s="558"/>
      <c r="C9" s="558"/>
      <c r="D9" s="558"/>
      <c r="E9" s="558"/>
      <c r="F9" s="558"/>
      <c r="G9" s="558"/>
      <c r="H9" s="83" t="s">
        <v>121</v>
      </c>
      <c r="I9" s="83" t="s">
        <v>122</v>
      </c>
      <c r="J9" s="554"/>
      <c r="K9" s="548"/>
      <c r="L9" s="83" t="s">
        <v>357</v>
      </c>
      <c r="M9" s="83" t="s">
        <v>358</v>
      </c>
      <c r="N9" s="83" t="s">
        <v>362</v>
      </c>
      <c r="O9" s="83" t="s">
        <v>363</v>
      </c>
      <c r="P9" s="83" t="s">
        <v>367</v>
      </c>
      <c r="Q9" s="83" t="s">
        <v>372</v>
      </c>
      <c r="R9" s="83" t="s">
        <v>384</v>
      </c>
      <c r="S9" s="83" t="s">
        <v>397</v>
      </c>
      <c r="T9" s="83" t="s">
        <v>399</v>
      </c>
      <c r="U9" s="543"/>
      <c r="V9" s="83" t="s">
        <v>13</v>
      </c>
      <c r="W9" s="83" t="s">
        <v>361</v>
      </c>
      <c r="X9" s="83" t="s">
        <v>398</v>
      </c>
      <c r="Y9" s="83" t="s">
        <v>499</v>
      </c>
      <c r="Z9" s="548"/>
      <c r="AA9" s="558"/>
      <c r="AB9" s="566"/>
      <c r="AC9" s="147"/>
      <c r="AD9" s="557"/>
      <c r="AE9" s="557"/>
      <c r="AF9" s="557"/>
      <c r="AG9" s="31"/>
      <c r="AH9" s="31"/>
      <c r="AI9" s="31"/>
      <c r="AN9" s="32" t="s">
        <v>288</v>
      </c>
      <c r="AO9" s="32">
        <f>COUNTIF(AH10:AH748,"KCM")</f>
        <v>24</v>
      </c>
      <c r="AP9" s="58">
        <f>SUMIF(AH11:AH749,"KCM",AJ11:AJ749)</f>
        <v>213015</v>
      </c>
      <c r="AQ9" s="58">
        <f>SUMIFS($AJ$10:$AJ$85,$AH$10:$AH$85,"KCM",$AI$10:$AI$85,"GT")</f>
        <v>141400</v>
      </c>
      <c r="AR9" s="58">
        <f>SUMIFS($AJ$10:$AJ$85,$AH$10:$AH$85,"KCM",$AI$10:$AI$85,"NN-TL")</f>
        <v>0</v>
      </c>
      <c r="AS9" s="58">
        <f>SUMIFS($AJ$10:$AJ$85,$AH$10:$AH$85,"KCM",$AI$10:$AI$85,"GDĐT")</f>
        <v>61300</v>
      </c>
      <c r="AT9" s="58">
        <f>SUMIFS($AJ$10:$AJ$85,$AH$10:$AH$85,"KCM",$AI$10:$AI$85,"YT")</f>
        <v>0</v>
      </c>
      <c r="AU9" s="58">
        <f>SUMIFS($AJ$10:$AJ$85,$AH$10:$AH$85,"KCM",$AI$10:$AI$85,"VH")</f>
        <v>10315</v>
      </c>
      <c r="AV9" s="58">
        <f>SUMIFS($AJ$10:$AJ$85,$AH$10:$AH$85,"KCM",$AI$10:$AI$85,"TTTT")</f>
        <v>0</v>
      </c>
      <c r="AW9" s="58">
        <f>SUMIFS($AJ$10:$AJ$85,$AH$10:$AH$85,"KCM",$AI$10:$AI$85,"XH-CC")</f>
        <v>0</v>
      </c>
      <c r="AX9" s="58">
        <f>SUMIFS($AJ$10:$AJ$85,$AH$10:$AH$85,"KCM",$AI$10:$AI$85,"NS")</f>
        <v>0</v>
      </c>
      <c r="AY9" s="58">
        <f>SUMIFS($AJ$10:$AJ$85,$AH$10:$AH$85,"KCM",$AI$10:$AI$85,"TNMT")</f>
        <v>0</v>
      </c>
      <c r="AZ9" s="58">
        <f>SUMIFS($AJ$10:$AJ$85,$AH$10:$AH$85,"KCM",$AI$10:$AI$85,"QLNN")</f>
        <v>0</v>
      </c>
      <c r="BA9" s="58">
        <f>SUMIFS($AJ$10:$AJ$85,$AH$10:$AH$85,"KCM",$AI$10:$AI$85,"QPAN")</f>
        <v>0</v>
      </c>
      <c r="BB9" s="58">
        <f>SUMIFS($AJ$10:$AJ$85,$AH$10:$AH$85,"KCM",$AI$10:$AI$85,"PTĐT")</f>
        <v>0</v>
      </c>
      <c r="BC9" s="58">
        <f>SUMIFS($AJ$10:$AJ$85,$AH$10:$AH$85,"KCM",$AI$10:$AI$85,"TMDV")</f>
        <v>0</v>
      </c>
      <c r="BD9" s="33">
        <f>SUM(AQ9:BC9)</f>
        <v>213015</v>
      </c>
    </row>
    <row r="10" spans="1:56" s="177" customFormat="1" ht="45" customHeight="1">
      <c r="A10" s="173"/>
      <c r="B10" s="173" t="s">
        <v>188</v>
      </c>
      <c r="C10" s="173"/>
      <c r="D10" s="173"/>
      <c r="E10" s="173"/>
      <c r="F10" s="173"/>
      <c r="G10" s="173"/>
      <c r="H10" s="174">
        <f>SUM(H11,H48)</f>
        <v>611342</v>
      </c>
      <c r="I10" s="174">
        <f t="shared" ref="I10:Z10" si="0">SUM(I11,I48)</f>
        <v>323800</v>
      </c>
      <c r="J10" s="174">
        <f t="shared" si="0"/>
        <v>248915</v>
      </c>
      <c r="K10" s="174">
        <f t="shared" si="0"/>
        <v>184800</v>
      </c>
      <c r="L10" s="174">
        <f t="shared" si="0"/>
        <v>0</v>
      </c>
      <c r="M10" s="174">
        <f t="shared" si="0"/>
        <v>0</v>
      </c>
      <c r="N10" s="174">
        <f t="shared" si="0"/>
        <v>0</v>
      </c>
      <c r="O10" s="174">
        <f t="shared" si="0"/>
        <v>0</v>
      </c>
      <c r="P10" s="174">
        <f t="shared" si="0"/>
        <v>19500</v>
      </c>
      <c r="Q10" s="174">
        <f t="shared" si="0"/>
        <v>0</v>
      </c>
      <c r="R10" s="174">
        <f t="shared" si="0"/>
        <v>0</v>
      </c>
      <c r="S10" s="174">
        <f t="shared" si="0"/>
        <v>0</v>
      </c>
      <c r="T10" s="174">
        <f t="shared" si="0"/>
        <v>53000</v>
      </c>
      <c r="U10" s="174">
        <f t="shared" si="0"/>
        <v>109110</v>
      </c>
      <c r="V10" s="174">
        <f t="shared" si="0"/>
        <v>0</v>
      </c>
      <c r="W10" s="174">
        <f t="shared" si="0"/>
        <v>0</v>
      </c>
      <c r="X10" s="174">
        <f t="shared" si="0"/>
        <v>29910</v>
      </c>
      <c r="Y10" s="174">
        <f t="shared" si="0"/>
        <v>79200</v>
      </c>
      <c r="Z10" s="174">
        <f t="shared" si="0"/>
        <v>139805</v>
      </c>
      <c r="AA10" s="175"/>
      <c r="AB10" s="246"/>
      <c r="AC10" s="176">
        <f>J10-U10-Z10</f>
        <v>0</v>
      </c>
      <c r="AH10" s="157"/>
      <c r="AI10" s="157"/>
      <c r="AJ10" s="161"/>
      <c r="AK10" s="161"/>
      <c r="AL10" s="161"/>
      <c r="AM10" s="161"/>
      <c r="AN10" s="161"/>
      <c r="AO10" s="161"/>
      <c r="AP10" s="161"/>
      <c r="AQ10" s="161"/>
      <c r="AR10" s="161"/>
      <c r="AS10" s="161"/>
      <c r="AT10" s="161"/>
      <c r="AU10" s="161"/>
      <c r="AV10" s="161"/>
      <c r="AW10" s="161"/>
      <c r="AX10" s="161"/>
      <c r="AY10" s="161"/>
      <c r="AZ10" s="161"/>
      <c r="BA10" s="161"/>
      <c r="BB10" s="161"/>
      <c r="BC10" s="161"/>
      <c r="BD10" s="161"/>
    </row>
    <row r="11" spans="1:56" ht="45" customHeight="1">
      <c r="A11" s="143" t="s">
        <v>14</v>
      </c>
      <c r="B11" s="226" t="s">
        <v>15</v>
      </c>
      <c r="C11" s="143"/>
      <c r="D11" s="143"/>
      <c r="E11" s="143"/>
      <c r="F11" s="143"/>
      <c r="G11" s="143"/>
      <c r="H11" s="227">
        <f t="shared" ref="H11:Y11" si="1">SUM(H12,H24,H30,H39)</f>
        <v>376739</v>
      </c>
      <c r="I11" s="227">
        <f t="shared" si="1"/>
        <v>215800</v>
      </c>
      <c r="J11" s="227">
        <f t="shared" si="1"/>
        <v>167100</v>
      </c>
      <c r="K11" s="227">
        <f t="shared" si="1"/>
        <v>118100</v>
      </c>
      <c r="L11" s="227">
        <f t="shared" si="1"/>
        <v>0</v>
      </c>
      <c r="M11" s="227">
        <f t="shared" si="1"/>
        <v>0</v>
      </c>
      <c r="N11" s="227">
        <f t="shared" si="1"/>
        <v>0</v>
      </c>
      <c r="O11" s="227">
        <f t="shared" si="1"/>
        <v>0</v>
      </c>
      <c r="P11" s="227">
        <f t="shared" si="1"/>
        <v>0</v>
      </c>
      <c r="Q11" s="227">
        <f t="shared" si="1"/>
        <v>0</v>
      </c>
      <c r="R11" s="227">
        <f t="shared" si="1"/>
        <v>0</v>
      </c>
      <c r="S11" s="227">
        <f t="shared" si="1"/>
        <v>0</v>
      </c>
      <c r="T11" s="227">
        <f t="shared" si="1"/>
        <v>53000</v>
      </c>
      <c r="U11" s="227">
        <f t="shared" si="1"/>
        <v>109110</v>
      </c>
      <c r="V11" s="227">
        <f t="shared" si="1"/>
        <v>0</v>
      </c>
      <c r="W11" s="227">
        <f t="shared" si="1"/>
        <v>0</v>
      </c>
      <c r="X11" s="227">
        <f t="shared" si="1"/>
        <v>29910</v>
      </c>
      <c r="Y11" s="227">
        <f t="shared" si="1"/>
        <v>79200</v>
      </c>
      <c r="Z11" s="227">
        <f>SUM(Z12,Z24,Z30,Z39)</f>
        <v>57990</v>
      </c>
      <c r="AA11" s="83"/>
      <c r="AB11" s="247"/>
      <c r="AC11" s="176">
        <f t="shared" ref="AC11:AC78" si="2">J11-U11-Z11</f>
        <v>0</v>
      </c>
      <c r="AH11" s="110"/>
      <c r="AI11" s="110"/>
      <c r="AJ11" s="111"/>
      <c r="AK11" s="111"/>
      <c r="AL11" s="111"/>
      <c r="AM11" s="111"/>
      <c r="AN11" s="80" t="s">
        <v>287</v>
      </c>
      <c r="AO11" s="111">
        <f>SUM(AQ11:BC11)</f>
        <v>0</v>
      </c>
      <c r="AP11" s="111"/>
      <c r="AQ11" s="111">
        <f>COUNTIFS($AH$10:$AH$85,"CT",$AI$10:$AI$85,"GT")</f>
        <v>0</v>
      </c>
      <c r="AR11" s="111"/>
      <c r="AS11" s="111">
        <f>COUNTIFS($AH$10:$AH$85,"CT",$AI$10:$AI$85,"GT")</f>
        <v>0</v>
      </c>
      <c r="AT11" s="111"/>
      <c r="AU11" s="111"/>
      <c r="AV11" s="111"/>
      <c r="AW11" s="111"/>
      <c r="AX11" s="111"/>
      <c r="AY11" s="111"/>
      <c r="AZ11" s="111"/>
      <c r="BA11" s="111"/>
      <c r="BB11" s="111"/>
      <c r="BC11" s="111"/>
      <c r="BD11" s="111"/>
    </row>
    <row r="12" spans="1:56" s="152" customFormat="1" ht="48.75" customHeight="1">
      <c r="A12" s="143" t="s">
        <v>525</v>
      </c>
      <c r="B12" s="153" t="s">
        <v>116</v>
      </c>
      <c r="C12" s="141"/>
      <c r="D12" s="141"/>
      <c r="E12" s="141"/>
      <c r="F12" s="141"/>
      <c r="G12" s="141"/>
      <c r="H12" s="24">
        <f t="shared" ref="H12:Y12" si="3">SUM(H13,H16,H19)</f>
        <v>91514</v>
      </c>
      <c r="I12" s="24">
        <f t="shared" si="3"/>
        <v>38700</v>
      </c>
      <c r="J12" s="24">
        <f t="shared" si="3"/>
        <v>35800</v>
      </c>
      <c r="K12" s="24">
        <f t="shared" si="3"/>
        <v>28100</v>
      </c>
      <c r="L12" s="24">
        <f t="shared" si="3"/>
        <v>0</v>
      </c>
      <c r="M12" s="24">
        <f t="shared" si="3"/>
        <v>0</v>
      </c>
      <c r="N12" s="24">
        <f t="shared" si="3"/>
        <v>0</v>
      </c>
      <c r="O12" s="24">
        <f t="shared" si="3"/>
        <v>0</v>
      </c>
      <c r="P12" s="24">
        <f t="shared" si="3"/>
        <v>0</v>
      </c>
      <c r="Q12" s="24">
        <f t="shared" si="3"/>
        <v>0</v>
      </c>
      <c r="R12" s="24">
        <f t="shared" si="3"/>
        <v>0</v>
      </c>
      <c r="S12" s="24">
        <f t="shared" si="3"/>
        <v>0</v>
      </c>
      <c r="T12" s="24">
        <f t="shared" si="3"/>
        <v>10000</v>
      </c>
      <c r="U12" s="24">
        <f t="shared" si="3"/>
        <v>20710</v>
      </c>
      <c r="V12" s="24">
        <f t="shared" si="3"/>
        <v>0</v>
      </c>
      <c r="W12" s="24">
        <f t="shared" si="3"/>
        <v>0</v>
      </c>
      <c r="X12" s="24">
        <f t="shared" si="3"/>
        <v>10710</v>
      </c>
      <c r="Y12" s="24">
        <f t="shared" si="3"/>
        <v>10000</v>
      </c>
      <c r="Z12" s="24">
        <f>SUM(Z13,Z16,Z19)</f>
        <v>15090</v>
      </c>
      <c r="AA12" s="24"/>
      <c r="AB12" s="248"/>
      <c r="AC12" s="176">
        <f t="shared" si="2"/>
        <v>0</v>
      </c>
    </row>
    <row r="13" spans="1:56" s="151" customFormat="1" ht="39.75" customHeight="1">
      <c r="A13" s="149" t="s">
        <v>16</v>
      </c>
      <c r="B13" s="150" t="s">
        <v>56</v>
      </c>
      <c r="C13" s="149"/>
      <c r="D13" s="149"/>
      <c r="E13" s="149"/>
      <c r="F13" s="149"/>
      <c r="G13" s="149"/>
      <c r="H13" s="57">
        <f t="shared" ref="H13:T13" si="4">SUM(H14)</f>
        <v>29892</v>
      </c>
      <c r="I13" s="57">
        <f t="shared" si="4"/>
        <v>20300</v>
      </c>
      <c r="J13" s="57">
        <f t="shared" si="4"/>
        <v>19700</v>
      </c>
      <c r="K13" s="57">
        <f t="shared" si="4"/>
        <v>12000</v>
      </c>
      <c r="L13" s="57">
        <f t="shared" si="4"/>
        <v>0</v>
      </c>
      <c r="M13" s="57">
        <f t="shared" si="4"/>
        <v>0</v>
      </c>
      <c r="N13" s="57">
        <f t="shared" si="4"/>
        <v>0</v>
      </c>
      <c r="O13" s="57">
        <f t="shared" si="4"/>
        <v>0</v>
      </c>
      <c r="P13" s="57">
        <f t="shared" si="4"/>
        <v>0</v>
      </c>
      <c r="Q13" s="57">
        <f t="shared" si="4"/>
        <v>0</v>
      </c>
      <c r="R13" s="57">
        <f t="shared" si="4"/>
        <v>0</v>
      </c>
      <c r="S13" s="57">
        <f t="shared" si="4"/>
        <v>0</v>
      </c>
      <c r="T13" s="57">
        <f t="shared" si="4"/>
        <v>10000</v>
      </c>
      <c r="U13" s="57">
        <f>SUM(U14)</f>
        <v>12000</v>
      </c>
      <c r="V13" s="57">
        <f t="shared" ref="V13:Z13" si="5">SUM(V14)</f>
        <v>0</v>
      </c>
      <c r="W13" s="57">
        <f t="shared" si="5"/>
        <v>0</v>
      </c>
      <c r="X13" s="57">
        <f t="shared" si="5"/>
        <v>10500</v>
      </c>
      <c r="Y13" s="57">
        <f t="shared" si="5"/>
        <v>1500</v>
      </c>
      <c r="Z13" s="57">
        <f t="shared" si="5"/>
        <v>7700</v>
      </c>
      <c r="AA13" s="57"/>
      <c r="AB13" s="249"/>
      <c r="AC13" s="176">
        <f t="shared" si="2"/>
        <v>0</v>
      </c>
    </row>
    <row r="14" spans="1:56" s="152" customFormat="1" ht="39.75" customHeight="1">
      <c r="A14" s="141"/>
      <c r="B14" s="153" t="s">
        <v>123</v>
      </c>
      <c r="C14" s="141"/>
      <c r="D14" s="141"/>
      <c r="E14" s="141"/>
      <c r="F14" s="141"/>
      <c r="G14" s="141"/>
      <c r="H14" s="24">
        <f t="shared" ref="H14:Y14" si="6">SUM(H15:H15)</f>
        <v>29892</v>
      </c>
      <c r="I14" s="24">
        <f t="shared" si="6"/>
        <v>20300</v>
      </c>
      <c r="J14" s="24">
        <f t="shared" si="6"/>
        <v>19700</v>
      </c>
      <c r="K14" s="24">
        <f t="shared" si="6"/>
        <v>12000</v>
      </c>
      <c r="L14" s="24">
        <f t="shared" si="6"/>
        <v>0</v>
      </c>
      <c r="M14" s="24">
        <f t="shared" si="6"/>
        <v>0</v>
      </c>
      <c r="N14" s="24">
        <f t="shared" si="6"/>
        <v>0</v>
      </c>
      <c r="O14" s="24">
        <f t="shared" si="6"/>
        <v>0</v>
      </c>
      <c r="P14" s="24">
        <f t="shared" si="6"/>
        <v>0</v>
      </c>
      <c r="Q14" s="24">
        <f t="shared" si="6"/>
        <v>0</v>
      </c>
      <c r="R14" s="24">
        <f t="shared" si="6"/>
        <v>0</v>
      </c>
      <c r="S14" s="24">
        <f t="shared" si="6"/>
        <v>0</v>
      </c>
      <c r="T14" s="24">
        <f t="shared" si="6"/>
        <v>10000</v>
      </c>
      <c r="U14" s="24">
        <f t="shared" si="6"/>
        <v>12000</v>
      </c>
      <c r="V14" s="24">
        <f t="shared" si="6"/>
        <v>0</v>
      </c>
      <c r="W14" s="24">
        <f t="shared" si="6"/>
        <v>0</v>
      </c>
      <c r="X14" s="24">
        <f t="shared" si="6"/>
        <v>10500</v>
      </c>
      <c r="Y14" s="24">
        <f t="shared" si="6"/>
        <v>1500</v>
      </c>
      <c r="Z14" s="24">
        <f>SUM(Z15:Z15)</f>
        <v>7700</v>
      </c>
      <c r="AA14" s="24"/>
      <c r="AB14" s="248"/>
      <c r="AC14" s="176">
        <f t="shared" si="2"/>
        <v>0</v>
      </c>
    </row>
    <row r="15" spans="1:56" s="152" customFormat="1" ht="63.9" customHeight="1">
      <c r="A15" s="141">
        <v>1</v>
      </c>
      <c r="B15" s="140" t="s">
        <v>125</v>
      </c>
      <c r="C15" s="67" t="s">
        <v>124</v>
      </c>
      <c r="D15" s="67" t="s">
        <v>19</v>
      </c>
      <c r="E15" s="67" t="s">
        <v>126</v>
      </c>
      <c r="F15" s="67" t="s">
        <v>39</v>
      </c>
      <c r="G15" s="162" t="s">
        <v>622</v>
      </c>
      <c r="H15" s="26">
        <v>29892</v>
      </c>
      <c r="I15" s="112">
        <v>20300</v>
      </c>
      <c r="J15" s="25">
        <f>SUM(K15,L15:T15)-2300</f>
        <v>19700</v>
      </c>
      <c r="K15" s="25">
        <v>12000</v>
      </c>
      <c r="L15" s="25"/>
      <c r="M15" s="25"/>
      <c r="N15" s="25"/>
      <c r="O15" s="25"/>
      <c r="P15" s="25"/>
      <c r="Q15" s="25"/>
      <c r="R15" s="25"/>
      <c r="S15" s="25"/>
      <c r="T15" s="25">
        <v>10000</v>
      </c>
      <c r="U15" s="25">
        <f>SUM(V15:Y15)</f>
        <v>12000</v>
      </c>
      <c r="V15" s="24"/>
      <c r="W15" s="25"/>
      <c r="X15" s="22">
        <v>10500</v>
      </c>
      <c r="Y15" s="82">
        <v>1500</v>
      </c>
      <c r="Z15" s="22">
        <v>7700</v>
      </c>
      <c r="AA15" s="158"/>
      <c r="AB15" s="271" t="s">
        <v>910</v>
      </c>
      <c r="AC15" s="176">
        <f t="shared" si="2"/>
        <v>0</v>
      </c>
      <c r="AD15" s="154" t="e">
        <f>#REF!</f>
        <v>#REF!</v>
      </c>
      <c r="AE15" s="154" t="e">
        <f>AD15/2.5</f>
        <v>#REF!</v>
      </c>
      <c r="AF15" s="154">
        <f>Z15</f>
        <v>7700</v>
      </c>
      <c r="AG15" s="154"/>
      <c r="AH15" s="152" t="s">
        <v>290</v>
      </c>
      <c r="AI15" s="152" t="s">
        <v>291</v>
      </c>
      <c r="AJ15" s="33">
        <f>J15</f>
        <v>19700</v>
      </c>
      <c r="AK15" s="33" t="s">
        <v>378</v>
      </c>
      <c r="AL15" s="33"/>
      <c r="AM15" s="33"/>
    </row>
    <row r="16" spans="1:56" s="151" customFormat="1" ht="39.75" customHeight="1">
      <c r="A16" s="149" t="s">
        <v>24</v>
      </c>
      <c r="B16" s="150" t="s">
        <v>134</v>
      </c>
      <c r="C16" s="149"/>
      <c r="D16" s="149"/>
      <c r="E16" s="149"/>
      <c r="F16" s="149"/>
      <c r="G16" s="149"/>
      <c r="H16" s="57">
        <f t="shared" ref="H16:Y16" si="7">SUM(H17)</f>
        <v>25471</v>
      </c>
      <c r="I16" s="57">
        <f t="shared" si="7"/>
        <v>9300</v>
      </c>
      <c r="J16" s="57">
        <f t="shared" si="7"/>
        <v>9300</v>
      </c>
      <c r="K16" s="57">
        <f t="shared" si="7"/>
        <v>9300</v>
      </c>
      <c r="L16" s="57">
        <f t="shared" si="7"/>
        <v>0</v>
      </c>
      <c r="M16" s="57">
        <f t="shared" si="7"/>
        <v>0</v>
      </c>
      <c r="N16" s="57">
        <f t="shared" si="7"/>
        <v>0</v>
      </c>
      <c r="O16" s="57">
        <f t="shared" si="7"/>
        <v>0</v>
      </c>
      <c r="P16" s="57">
        <f t="shared" si="7"/>
        <v>0</v>
      </c>
      <c r="Q16" s="57">
        <f t="shared" si="7"/>
        <v>0</v>
      </c>
      <c r="R16" s="57">
        <f t="shared" si="7"/>
        <v>0</v>
      </c>
      <c r="S16" s="57">
        <f t="shared" si="7"/>
        <v>0</v>
      </c>
      <c r="T16" s="57">
        <f t="shared" si="7"/>
        <v>0</v>
      </c>
      <c r="U16" s="57">
        <f t="shared" si="7"/>
        <v>7000</v>
      </c>
      <c r="V16" s="57">
        <f t="shared" si="7"/>
        <v>0</v>
      </c>
      <c r="W16" s="57">
        <f t="shared" si="7"/>
        <v>0</v>
      </c>
      <c r="X16" s="57">
        <f t="shared" si="7"/>
        <v>0</v>
      </c>
      <c r="Y16" s="57">
        <f t="shared" si="7"/>
        <v>7000</v>
      </c>
      <c r="Z16" s="57">
        <f>SUM(Z17)</f>
        <v>2300</v>
      </c>
      <c r="AA16" s="57"/>
      <c r="AB16" s="249"/>
      <c r="AC16" s="176">
        <f t="shared" si="2"/>
        <v>0</v>
      </c>
    </row>
    <row r="17" spans="1:39" s="152" customFormat="1" ht="39.75" customHeight="1">
      <c r="A17" s="141"/>
      <c r="B17" s="153" t="s">
        <v>127</v>
      </c>
      <c r="C17" s="141"/>
      <c r="D17" s="141"/>
      <c r="E17" s="141"/>
      <c r="F17" s="141"/>
      <c r="G17" s="141"/>
      <c r="H17" s="24">
        <f t="shared" ref="H17:Y17" si="8">SUM(H18:H18)</f>
        <v>25471</v>
      </c>
      <c r="I17" s="24">
        <f t="shared" si="8"/>
        <v>9300</v>
      </c>
      <c r="J17" s="24">
        <f t="shared" si="8"/>
        <v>9300</v>
      </c>
      <c r="K17" s="24">
        <f t="shared" si="8"/>
        <v>9300</v>
      </c>
      <c r="L17" s="24">
        <f t="shared" si="8"/>
        <v>0</v>
      </c>
      <c r="M17" s="24">
        <f t="shared" si="8"/>
        <v>0</v>
      </c>
      <c r="N17" s="24">
        <f t="shared" si="8"/>
        <v>0</v>
      </c>
      <c r="O17" s="24">
        <f t="shared" si="8"/>
        <v>0</v>
      </c>
      <c r="P17" s="24">
        <f t="shared" si="8"/>
        <v>0</v>
      </c>
      <c r="Q17" s="24">
        <f t="shared" si="8"/>
        <v>0</v>
      </c>
      <c r="R17" s="24">
        <f t="shared" si="8"/>
        <v>0</v>
      </c>
      <c r="S17" s="24">
        <f t="shared" si="8"/>
        <v>0</v>
      </c>
      <c r="T17" s="24">
        <f t="shared" si="8"/>
        <v>0</v>
      </c>
      <c r="U17" s="24">
        <f t="shared" si="8"/>
        <v>7000</v>
      </c>
      <c r="V17" s="24">
        <f t="shared" si="8"/>
        <v>0</v>
      </c>
      <c r="W17" s="24">
        <f t="shared" si="8"/>
        <v>0</v>
      </c>
      <c r="X17" s="24">
        <f t="shared" si="8"/>
        <v>0</v>
      </c>
      <c r="Y17" s="24">
        <f t="shared" si="8"/>
        <v>7000</v>
      </c>
      <c r="Z17" s="24">
        <f>SUM(Z18:Z18)</f>
        <v>2300</v>
      </c>
      <c r="AA17" s="24"/>
      <c r="AB17" s="248"/>
      <c r="AC17" s="176">
        <f t="shared" si="2"/>
        <v>0</v>
      </c>
    </row>
    <row r="18" spans="1:39" s="152" customFormat="1" ht="57.75" customHeight="1">
      <c r="A18" s="141">
        <v>1</v>
      </c>
      <c r="B18" s="140" t="s">
        <v>135</v>
      </c>
      <c r="C18" s="67" t="s">
        <v>127</v>
      </c>
      <c r="D18" s="67" t="s">
        <v>19</v>
      </c>
      <c r="E18" s="67" t="s">
        <v>136</v>
      </c>
      <c r="F18" s="67" t="s">
        <v>39</v>
      </c>
      <c r="G18" s="169" t="s">
        <v>623</v>
      </c>
      <c r="H18" s="82">
        <v>25471</v>
      </c>
      <c r="I18" s="22">
        <v>9300</v>
      </c>
      <c r="J18" s="25">
        <f>SUM(K18,L18:T18)</f>
        <v>9300</v>
      </c>
      <c r="K18" s="25">
        <v>9300</v>
      </c>
      <c r="L18" s="25"/>
      <c r="M18" s="25"/>
      <c r="N18" s="25"/>
      <c r="O18" s="25"/>
      <c r="P18" s="25"/>
      <c r="Q18" s="25"/>
      <c r="R18" s="25"/>
      <c r="S18" s="25"/>
      <c r="T18" s="25"/>
      <c r="U18" s="25">
        <f>SUM(V18:Y18)</f>
        <v>7000</v>
      </c>
      <c r="V18" s="24"/>
      <c r="W18" s="25"/>
      <c r="X18" s="22"/>
      <c r="Y18" s="142">
        <v>7000</v>
      </c>
      <c r="Z18" s="22">
        <v>2300</v>
      </c>
      <c r="AA18" s="24"/>
      <c r="AB18" s="248"/>
      <c r="AC18" s="176">
        <f t="shared" si="2"/>
        <v>0</v>
      </c>
      <c r="AD18" s="154" t="e">
        <f>#REF!</f>
        <v>#REF!</v>
      </c>
      <c r="AE18" s="154" t="e">
        <f>AD18/2.5</f>
        <v>#REF!</v>
      </c>
      <c r="AF18" s="154">
        <f>Z18</f>
        <v>2300</v>
      </c>
      <c r="AG18" s="154"/>
      <c r="AH18" s="152" t="s">
        <v>290</v>
      </c>
      <c r="AI18" s="152" t="s">
        <v>276</v>
      </c>
      <c r="AJ18" s="33">
        <f>J18</f>
        <v>9300</v>
      </c>
      <c r="AK18" s="33"/>
      <c r="AL18" s="33"/>
      <c r="AM18" s="33"/>
    </row>
    <row r="19" spans="1:39" s="151" customFormat="1" ht="39.75" customHeight="1">
      <c r="A19" s="149" t="s">
        <v>29</v>
      </c>
      <c r="B19" s="150" t="s">
        <v>57</v>
      </c>
      <c r="C19" s="149"/>
      <c r="D19" s="149"/>
      <c r="E19" s="149"/>
      <c r="F19" s="149"/>
      <c r="G19" s="149"/>
      <c r="H19" s="57">
        <f t="shared" ref="H19" si="9">SUM(H20,H22)</f>
        <v>36151</v>
      </c>
      <c r="I19" s="57">
        <f t="shared" ref="I19" si="10">SUM(I20,I22)</f>
        <v>9100</v>
      </c>
      <c r="J19" s="57">
        <f t="shared" ref="J19:Y19" si="11">SUM(J20,J22)</f>
        <v>6800</v>
      </c>
      <c r="K19" s="57">
        <f t="shared" si="11"/>
        <v>6800</v>
      </c>
      <c r="L19" s="57">
        <f t="shared" si="11"/>
        <v>0</v>
      </c>
      <c r="M19" s="57">
        <f t="shared" si="11"/>
        <v>0</v>
      </c>
      <c r="N19" s="57">
        <f t="shared" si="11"/>
        <v>0</v>
      </c>
      <c r="O19" s="57">
        <f t="shared" si="11"/>
        <v>0</v>
      </c>
      <c r="P19" s="57">
        <f t="shared" si="11"/>
        <v>0</v>
      </c>
      <c r="Q19" s="57">
        <f t="shared" si="11"/>
        <v>0</v>
      </c>
      <c r="R19" s="57">
        <f t="shared" si="11"/>
        <v>0</v>
      </c>
      <c r="S19" s="57">
        <f t="shared" si="11"/>
        <v>0</v>
      </c>
      <c r="T19" s="57">
        <f t="shared" si="11"/>
        <v>0</v>
      </c>
      <c r="U19" s="57">
        <f t="shared" si="11"/>
        <v>1710</v>
      </c>
      <c r="V19" s="57">
        <f t="shared" si="11"/>
        <v>0</v>
      </c>
      <c r="W19" s="57">
        <f t="shared" si="11"/>
        <v>0</v>
      </c>
      <c r="X19" s="57">
        <f t="shared" si="11"/>
        <v>210</v>
      </c>
      <c r="Y19" s="57">
        <f t="shared" si="11"/>
        <v>1500</v>
      </c>
      <c r="Z19" s="57">
        <f>SUM(Z20,Z22)</f>
        <v>5090</v>
      </c>
      <c r="AA19" s="57"/>
      <c r="AB19" s="249"/>
      <c r="AC19" s="176">
        <f t="shared" si="2"/>
        <v>0</v>
      </c>
    </row>
    <row r="20" spans="1:39" s="152" customFormat="1" ht="57.75" customHeight="1">
      <c r="A20" s="141"/>
      <c r="B20" s="153" t="s">
        <v>127</v>
      </c>
      <c r="C20" s="67"/>
      <c r="D20" s="67"/>
      <c r="E20" s="67"/>
      <c r="F20" s="67"/>
      <c r="G20" s="162"/>
      <c r="H20" s="22">
        <f t="shared" ref="H20" si="12">SUM(H21)</f>
        <v>21773</v>
      </c>
      <c r="I20" s="22">
        <f t="shared" ref="I20" si="13">SUM(I21)</f>
        <v>3300</v>
      </c>
      <c r="J20" s="22">
        <f t="shared" ref="J20" si="14">SUM(J21)</f>
        <v>3300</v>
      </c>
      <c r="K20" s="22">
        <f t="shared" ref="K20" si="15">SUM(K21)</f>
        <v>3300</v>
      </c>
      <c r="L20" s="22">
        <f t="shared" ref="L20" si="16">SUM(L21)</f>
        <v>0</v>
      </c>
      <c r="M20" s="22">
        <f t="shared" ref="M20" si="17">SUM(M21)</f>
        <v>0</v>
      </c>
      <c r="N20" s="22">
        <f t="shared" ref="N20" si="18">SUM(N21)</f>
        <v>0</v>
      </c>
      <c r="O20" s="22">
        <f t="shared" ref="O20" si="19">SUM(O21)</f>
        <v>0</v>
      </c>
      <c r="P20" s="22">
        <f t="shared" ref="P20" si="20">SUM(P21)</f>
        <v>0</v>
      </c>
      <c r="Q20" s="22">
        <f t="shared" ref="Q20" si="21">SUM(Q21)</f>
        <v>0</v>
      </c>
      <c r="R20" s="22">
        <f t="shared" ref="R20" si="22">SUM(R21)</f>
        <v>0</v>
      </c>
      <c r="S20" s="22">
        <f t="shared" ref="S20" si="23">SUM(S21)</f>
        <v>0</v>
      </c>
      <c r="T20" s="22">
        <f t="shared" ref="T20" si="24">SUM(T21)</f>
        <v>0</v>
      </c>
      <c r="U20" s="22">
        <f t="shared" ref="U20" si="25">SUM(U21)</f>
        <v>1500</v>
      </c>
      <c r="V20" s="22">
        <f t="shared" ref="V20" si="26">SUM(V21)</f>
        <v>0</v>
      </c>
      <c r="W20" s="22">
        <f t="shared" ref="W20" si="27">SUM(W21)</f>
        <v>0</v>
      </c>
      <c r="X20" s="22">
        <f t="shared" ref="X20" si="28">SUM(X21)</f>
        <v>0</v>
      </c>
      <c r="Y20" s="22">
        <f t="shared" ref="Y20:Z20" si="29">SUM(Y21)</f>
        <v>1500</v>
      </c>
      <c r="Z20" s="22">
        <f t="shared" si="29"/>
        <v>1800</v>
      </c>
      <c r="AA20" s="24"/>
      <c r="AB20" s="248"/>
      <c r="AC20" s="176">
        <f t="shared" si="2"/>
        <v>0</v>
      </c>
      <c r="AD20" s="154"/>
      <c r="AE20" s="154"/>
      <c r="AF20" s="154"/>
      <c r="AG20" s="154"/>
      <c r="AJ20" s="33"/>
      <c r="AK20" s="33"/>
      <c r="AL20" s="33"/>
      <c r="AM20" s="33"/>
    </row>
    <row r="21" spans="1:39" s="152" customFormat="1" ht="69.75" customHeight="1">
      <c r="A21" s="141">
        <v>1</v>
      </c>
      <c r="B21" s="140" t="s">
        <v>517</v>
      </c>
      <c r="C21" s="67" t="s">
        <v>127</v>
      </c>
      <c r="D21" s="67" t="s">
        <v>19</v>
      </c>
      <c r="E21" s="67" t="s">
        <v>518</v>
      </c>
      <c r="F21" s="67" t="s">
        <v>39</v>
      </c>
      <c r="G21" s="169" t="s">
        <v>624</v>
      </c>
      <c r="H21" s="82">
        <v>21773</v>
      </c>
      <c r="I21" s="22">
        <v>3300</v>
      </c>
      <c r="J21" s="25">
        <f>SUM(K21,L21:T21)</f>
        <v>3300</v>
      </c>
      <c r="K21" s="25">
        <v>3300</v>
      </c>
      <c r="L21" s="25"/>
      <c r="M21" s="25"/>
      <c r="N21" s="25"/>
      <c r="O21" s="25"/>
      <c r="P21" s="25"/>
      <c r="Q21" s="25"/>
      <c r="R21" s="25"/>
      <c r="S21" s="25"/>
      <c r="T21" s="25"/>
      <c r="U21" s="25">
        <f>SUM(V21:Y21)</f>
        <v>1500</v>
      </c>
      <c r="V21" s="24"/>
      <c r="W21" s="25"/>
      <c r="X21" s="22"/>
      <c r="Y21" s="82">
        <v>1500</v>
      </c>
      <c r="Z21" s="22">
        <v>1800</v>
      </c>
      <c r="AA21" s="24"/>
      <c r="AB21" s="248"/>
      <c r="AC21" s="176">
        <f t="shared" si="2"/>
        <v>0</v>
      </c>
      <c r="AD21" s="154"/>
      <c r="AE21" s="154"/>
      <c r="AF21" s="154"/>
      <c r="AG21" s="154"/>
      <c r="AJ21" s="33"/>
      <c r="AK21" s="33"/>
      <c r="AL21" s="33"/>
      <c r="AM21" s="33"/>
    </row>
    <row r="22" spans="1:39" s="152" customFormat="1" ht="57.75" customHeight="1">
      <c r="A22" s="141"/>
      <c r="B22" s="153" t="s">
        <v>123</v>
      </c>
      <c r="C22" s="67"/>
      <c r="D22" s="67"/>
      <c r="E22" s="67"/>
      <c r="F22" s="67"/>
      <c r="G22" s="162"/>
      <c r="H22" s="22">
        <f t="shared" ref="H22" si="30">SUM(H23)</f>
        <v>14378</v>
      </c>
      <c r="I22" s="22">
        <f t="shared" ref="I22" si="31">SUM(I23)</f>
        <v>5800</v>
      </c>
      <c r="J22" s="22">
        <f t="shared" ref="J22:Y22" si="32">SUM(J23)</f>
        <v>3500</v>
      </c>
      <c r="K22" s="22">
        <f t="shared" si="32"/>
        <v>3500</v>
      </c>
      <c r="L22" s="22">
        <f t="shared" si="32"/>
        <v>0</v>
      </c>
      <c r="M22" s="22">
        <f t="shared" si="32"/>
        <v>0</v>
      </c>
      <c r="N22" s="22">
        <f t="shared" si="32"/>
        <v>0</v>
      </c>
      <c r="O22" s="22">
        <f t="shared" si="32"/>
        <v>0</v>
      </c>
      <c r="P22" s="22">
        <f t="shared" si="32"/>
        <v>0</v>
      </c>
      <c r="Q22" s="22">
        <f t="shared" si="32"/>
        <v>0</v>
      </c>
      <c r="R22" s="22">
        <f t="shared" si="32"/>
        <v>0</v>
      </c>
      <c r="S22" s="22">
        <f t="shared" si="32"/>
        <v>0</v>
      </c>
      <c r="T22" s="22">
        <f t="shared" si="32"/>
        <v>0</v>
      </c>
      <c r="U22" s="22">
        <f t="shared" si="32"/>
        <v>210</v>
      </c>
      <c r="V22" s="22">
        <f t="shared" si="32"/>
        <v>0</v>
      </c>
      <c r="W22" s="22">
        <f t="shared" si="32"/>
        <v>0</v>
      </c>
      <c r="X22" s="22">
        <f t="shared" si="32"/>
        <v>210</v>
      </c>
      <c r="Y22" s="22">
        <f t="shared" si="32"/>
        <v>0</v>
      </c>
      <c r="Z22" s="22">
        <f>SUM(Z23)</f>
        <v>3290</v>
      </c>
      <c r="AA22" s="24"/>
      <c r="AB22" s="248"/>
      <c r="AC22" s="176">
        <f t="shared" si="2"/>
        <v>0</v>
      </c>
      <c r="AD22" s="154"/>
      <c r="AE22" s="154"/>
      <c r="AF22" s="154"/>
      <c r="AG22" s="154"/>
      <c r="AJ22" s="33"/>
      <c r="AK22" s="33"/>
      <c r="AL22" s="33"/>
      <c r="AM22" s="33"/>
    </row>
    <row r="23" spans="1:39" s="152" customFormat="1" ht="83.25" customHeight="1">
      <c r="A23" s="141">
        <v>1</v>
      </c>
      <c r="B23" s="140" t="s">
        <v>515</v>
      </c>
      <c r="C23" s="67" t="s">
        <v>123</v>
      </c>
      <c r="D23" s="67" t="s">
        <v>19</v>
      </c>
      <c r="E23" s="67" t="s">
        <v>516</v>
      </c>
      <c r="F23" s="67" t="s">
        <v>39</v>
      </c>
      <c r="G23" s="162" t="s">
        <v>625</v>
      </c>
      <c r="H23" s="26">
        <v>14378</v>
      </c>
      <c r="I23" s="112">
        <v>5800</v>
      </c>
      <c r="J23" s="25">
        <f>SUM(K23,L23:T23)</f>
        <v>3500</v>
      </c>
      <c r="K23" s="25">
        <v>3500</v>
      </c>
      <c r="L23" s="25"/>
      <c r="M23" s="25"/>
      <c r="N23" s="25"/>
      <c r="O23" s="25"/>
      <c r="P23" s="25"/>
      <c r="Q23" s="25"/>
      <c r="R23" s="25"/>
      <c r="S23" s="25"/>
      <c r="T23" s="25"/>
      <c r="U23" s="25">
        <f>SUM(V23:Y23)</f>
        <v>210</v>
      </c>
      <c r="V23" s="25"/>
      <c r="W23" s="25"/>
      <c r="X23" s="22">
        <v>210</v>
      </c>
      <c r="Y23" s="82">
        <v>0</v>
      </c>
      <c r="Z23" s="22">
        <v>3290</v>
      </c>
      <c r="AA23" s="24"/>
      <c r="AB23" s="248"/>
      <c r="AC23" s="176">
        <f t="shared" si="2"/>
        <v>0</v>
      </c>
      <c r="AD23" s="154"/>
      <c r="AE23" s="154"/>
      <c r="AF23" s="154"/>
      <c r="AG23" s="154"/>
      <c r="AJ23" s="33"/>
      <c r="AK23" s="33"/>
      <c r="AL23" s="33"/>
      <c r="AM23" s="33"/>
    </row>
    <row r="24" spans="1:39" s="152" customFormat="1" ht="48.75" customHeight="1">
      <c r="A24" s="143" t="s">
        <v>685</v>
      </c>
      <c r="B24" s="153" t="s">
        <v>145</v>
      </c>
      <c r="C24" s="141"/>
      <c r="D24" s="141"/>
      <c r="E24" s="141"/>
      <c r="F24" s="141"/>
      <c r="G24" s="141"/>
      <c r="H24" s="24">
        <f t="shared" ref="H24:Y24" si="33">SUM(H25)</f>
        <v>89635</v>
      </c>
      <c r="I24" s="24">
        <f t="shared" si="33"/>
        <v>71200</v>
      </c>
      <c r="J24" s="24">
        <f t="shared" si="33"/>
        <v>61600</v>
      </c>
      <c r="K24" s="24">
        <f t="shared" si="33"/>
        <v>27600</v>
      </c>
      <c r="L24" s="24">
        <f t="shared" si="33"/>
        <v>0</v>
      </c>
      <c r="M24" s="24">
        <f t="shared" si="33"/>
        <v>0</v>
      </c>
      <c r="N24" s="24">
        <f t="shared" si="33"/>
        <v>0</v>
      </c>
      <c r="O24" s="24">
        <f t="shared" si="33"/>
        <v>0</v>
      </c>
      <c r="P24" s="24">
        <f t="shared" si="33"/>
        <v>0</v>
      </c>
      <c r="Q24" s="24">
        <f t="shared" si="33"/>
        <v>0</v>
      </c>
      <c r="R24" s="24">
        <f t="shared" si="33"/>
        <v>0</v>
      </c>
      <c r="S24" s="24">
        <f t="shared" si="33"/>
        <v>0</v>
      </c>
      <c r="T24" s="24">
        <f t="shared" si="33"/>
        <v>34000</v>
      </c>
      <c r="U24" s="24">
        <f t="shared" si="33"/>
        <v>55200</v>
      </c>
      <c r="V24" s="24">
        <f t="shared" si="33"/>
        <v>0</v>
      </c>
      <c r="W24" s="24">
        <f t="shared" si="33"/>
        <v>0</v>
      </c>
      <c r="X24" s="24">
        <f t="shared" si="33"/>
        <v>19200</v>
      </c>
      <c r="Y24" s="24">
        <f t="shared" si="33"/>
        <v>36000</v>
      </c>
      <c r="Z24" s="24">
        <f>SUM(Z25)</f>
        <v>6400</v>
      </c>
      <c r="AA24" s="24"/>
      <c r="AB24" s="248"/>
      <c r="AC24" s="176">
        <f t="shared" si="2"/>
        <v>0</v>
      </c>
    </row>
    <row r="25" spans="1:39" s="151" customFormat="1" ht="39.75" customHeight="1">
      <c r="A25" s="149" t="s">
        <v>16</v>
      </c>
      <c r="B25" s="150" t="s">
        <v>56</v>
      </c>
      <c r="C25" s="149"/>
      <c r="D25" s="149"/>
      <c r="E25" s="149"/>
      <c r="F25" s="149"/>
      <c r="G25" s="149"/>
      <c r="H25" s="57">
        <f t="shared" ref="H25:Y25" si="34">SUM(H26,H28)</f>
        <v>89635</v>
      </c>
      <c r="I25" s="57">
        <f t="shared" si="34"/>
        <v>71200</v>
      </c>
      <c r="J25" s="57">
        <f t="shared" si="34"/>
        <v>61600</v>
      </c>
      <c r="K25" s="57">
        <f t="shared" si="34"/>
        <v>27600</v>
      </c>
      <c r="L25" s="57">
        <f t="shared" si="34"/>
        <v>0</v>
      </c>
      <c r="M25" s="57">
        <f t="shared" si="34"/>
        <v>0</v>
      </c>
      <c r="N25" s="57">
        <f t="shared" si="34"/>
        <v>0</v>
      </c>
      <c r="O25" s="57">
        <f t="shared" si="34"/>
        <v>0</v>
      </c>
      <c r="P25" s="57">
        <f t="shared" si="34"/>
        <v>0</v>
      </c>
      <c r="Q25" s="57">
        <f t="shared" si="34"/>
        <v>0</v>
      </c>
      <c r="R25" s="57">
        <f t="shared" si="34"/>
        <v>0</v>
      </c>
      <c r="S25" s="57">
        <f t="shared" si="34"/>
        <v>0</v>
      </c>
      <c r="T25" s="57">
        <f t="shared" si="34"/>
        <v>34000</v>
      </c>
      <c r="U25" s="57">
        <f t="shared" si="34"/>
        <v>55200</v>
      </c>
      <c r="V25" s="57">
        <f t="shared" si="34"/>
        <v>0</v>
      </c>
      <c r="W25" s="57">
        <f t="shared" si="34"/>
        <v>0</v>
      </c>
      <c r="X25" s="57">
        <f t="shared" si="34"/>
        <v>19200</v>
      </c>
      <c r="Y25" s="57">
        <f t="shared" si="34"/>
        <v>36000</v>
      </c>
      <c r="Z25" s="57">
        <f>SUM(Z26,Z28)</f>
        <v>6400</v>
      </c>
      <c r="AA25" s="57"/>
      <c r="AB25" s="249"/>
      <c r="AC25" s="176">
        <f t="shared" si="2"/>
        <v>0</v>
      </c>
    </row>
    <row r="26" spans="1:39" s="152" customFormat="1" ht="39.75" customHeight="1">
      <c r="A26" s="141"/>
      <c r="B26" s="153" t="s">
        <v>147</v>
      </c>
      <c r="C26" s="141"/>
      <c r="D26" s="141"/>
      <c r="E26" s="141"/>
      <c r="F26" s="141"/>
      <c r="G26" s="141"/>
      <c r="H26" s="24">
        <f t="shared" ref="H26:Y26" si="35">SUM(H27:H27)</f>
        <v>74678</v>
      </c>
      <c r="I26" s="24">
        <f t="shared" si="35"/>
        <v>57200</v>
      </c>
      <c r="J26" s="24">
        <f t="shared" si="35"/>
        <v>53200</v>
      </c>
      <c r="K26" s="24">
        <f t="shared" si="35"/>
        <v>19200</v>
      </c>
      <c r="L26" s="24">
        <f t="shared" si="35"/>
        <v>0</v>
      </c>
      <c r="M26" s="24">
        <f t="shared" si="35"/>
        <v>0</v>
      </c>
      <c r="N26" s="24">
        <f t="shared" si="35"/>
        <v>0</v>
      </c>
      <c r="O26" s="24">
        <f t="shared" si="35"/>
        <v>0</v>
      </c>
      <c r="P26" s="24">
        <f t="shared" si="35"/>
        <v>0</v>
      </c>
      <c r="Q26" s="24">
        <f t="shared" si="35"/>
        <v>0</v>
      </c>
      <c r="R26" s="24">
        <f t="shared" si="35"/>
        <v>0</v>
      </c>
      <c r="S26" s="24">
        <f t="shared" si="35"/>
        <v>0</v>
      </c>
      <c r="T26" s="24">
        <f t="shared" si="35"/>
        <v>34000</v>
      </c>
      <c r="U26" s="24">
        <f t="shared" si="35"/>
        <v>49200</v>
      </c>
      <c r="V26" s="24">
        <f t="shared" si="35"/>
        <v>0</v>
      </c>
      <c r="W26" s="24">
        <f t="shared" si="35"/>
        <v>0</v>
      </c>
      <c r="X26" s="24">
        <f t="shared" si="35"/>
        <v>19200</v>
      </c>
      <c r="Y26" s="24">
        <f t="shared" si="35"/>
        <v>30000</v>
      </c>
      <c r="Z26" s="24">
        <f>SUM(Z27:Z27)</f>
        <v>4000</v>
      </c>
      <c r="AA26" s="24"/>
      <c r="AB26" s="248"/>
      <c r="AC26" s="176">
        <f t="shared" si="2"/>
        <v>0</v>
      </c>
    </row>
    <row r="27" spans="1:39" s="152" customFormat="1" ht="82.5" customHeight="1">
      <c r="A27" s="141">
        <v>1</v>
      </c>
      <c r="B27" s="140" t="s">
        <v>148</v>
      </c>
      <c r="C27" s="67" t="s">
        <v>147</v>
      </c>
      <c r="D27" s="67" t="s">
        <v>19</v>
      </c>
      <c r="E27" s="67" t="s">
        <v>149</v>
      </c>
      <c r="F27" s="67" t="s">
        <v>39</v>
      </c>
      <c r="G27" s="162" t="s">
        <v>626</v>
      </c>
      <c r="H27" s="26">
        <v>74678</v>
      </c>
      <c r="I27" s="26">
        <v>57200</v>
      </c>
      <c r="J27" s="25">
        <f>SUM(K27,L27:T27)</f>
        <v>53200</v>
      </c>
      <c r="K27" s="25">
        <v>19200</v>
      </c>
      <c r="L27" s="25"/>
      <c r="M27" s="25"/>
      <c r="N27" s="25"/>
      <c r="O27" s="25"/>
      <c r="P27" s="25"/>
      <c r="Q27" s="25"/>
      <c r="R27" s="25"/>
      <c r="S27" s="25"/>
      <c r="T27" s="25">
        <v>34000</v>
      </c>
      <c r="U27" s="25">
        <f>SUM(V27:Y27)</f>
        <v>49200</v>
      </c>
      <c r="V27" s="24"/>
      <c r="W27" s="25"/>
      <c r="X27" s="22">
        <v>19200</v>
      </c>
      <c r="Y27" s="22">
        <v>30000</v>
      </c>
      <c r="Z27" s="22">
        <v>4000</v>
      </c>
      <c r="AA27" s="24"/>
      <c r="AB27" s="248"/>
      <c r="AC27" s="176">
        <f t="shared" si="2"/>
        <v>0</v>
      </c>
      <c r="AD27" s="154" t="e">
        <f>#REF!</f>
        <v>#REF!</v>
      </c>
      <c r="AE27" s="154" t="e">
        <f>AD27/2.5</f>
        <v>#REF!</v>
      </c>
      <c r="AF27" s="154">
        <f>Z27</f>
        <v>4000</v>
      </c>
      <c r="AG27" s="154"/>
      <c r="AH27" s="152" t="s">
        <v>290</v>
      </c>
      <c r="AI27" s="152" t="s">
        <v>291</v>
      </c>
      <c r="AJ27" s="33">
        <f>J27</f>
        <v>53200</v>
      </c>
      <c r="AK27" s="33" t="s">
        <v>378</v>
      </c>
      <c r="AL27" s="33"/>
      <c r="AM27" s="33"/>
    </row>
    <row r="28" spans="1:39" s="152" customFormat="1" ht="39.75" customHeight="1">
      <c r="A28" s="141"/>
      <c r="B28" s="153" t="s">
        <v>150</v>
      </c>
      <c r="C28" s="141"/>
      <c r="D28" s="141"/>
      <c r="E28" s="141"/>
      <c r="F28" s="141"/>
      <c r="G28" s="141"/>
      <c r="H28" s="24">
        <f t="shared" ref="H28:Y28" si="36">SUM(H29:H29)</f>
        <v>14957</v>
      </c>
      <c r="I28" s="24">
        <f t="shared" si="36"/>
        <v>14000</v>
      </c>
      <c r="J28" s="24">
        <f t="shared" si="36"/>
        <v>8400</v>
      </c>
      <c r="K28" s="24">
        <f t="shared" si="36"/>
        <v>8400</v>
      </c>
      <c r="L28" s="24">
        <f t="shared" si="36"/>
        <v>0</v>
      </c>
      <c r="M28" s="24">
        <f t="shared" si="36"/>
        <v>0</v>
      </c>
      <c r="N28" s="24">
        <f t="shared" si="36"/>
        <v>0</v>
      </c>
      <c r="O28" s="24">
        <f t="shared" si="36"/>
        <v>0</v>
      </c>
      <c r="P28" s="24">
        <f t="shared" si="36"/>
        <v>0</v>
      </c>
      <c r="Q28" s="24">
        <f t="shared" si="36"/>
        <v>0</v>
      </c>
      <c r="R28" s="24">
        <f t="shared" si="36"/>
        <v>0</v>
      </c>
      <c r="S28" s="24">
        <f t="shared" si="36"/>
        <v>0</v>
      </c>
      <c r="T28" s="24">
        <f t="shared" si="36"/>
        <v>0</v>
      </c>
      <c r="U28" s="24">
        <f t="shared" si="36"/>
        <v>6000</v>
      </c>
      <c r="V28" s="24">
        <f t="shared" si="36"/>
        <v>0</v>
      </c>
      <c r="W28" s="24">
        <f t="shared" si="36"/>
        <v>0</v>
      </c>
      <c r="X28" s="24">
        <f t="shared" si="36"/>
        <v>0</v>
      </c>
      <c r="Y28" s="24">
        <f t="shared" si="36"/>
        <v>6000</v>
      </c>
      <c r="Z28" s="24">
        <f>SUM(Z29:Z29)</f>
        <v>2400</v>
      </c>
      <c r="AA28" s="24"/>
      <c r="AB28" s="248"/>
      <c r="AC28" s="176">
        <f t="shared" si="2"/>
        <v>0</v>
      </c>
    </row>
    <row r="29" spans="1:39" s="152" customFormat="1" ht="66" customHeight="1">
      <c r="A29" s="141">
        <v>1</v>
      </c>
      <c r="B29" s="140" t="s">
        <v>771</v>
      </c>
      <c r="C29" s="67" t="s">
        <v>151</v>
      </c>
      <c r="D29" s="67" t="s">
        <v>19</v>
      </c>
      <c r="E29" s="67" t="s">
        <v>146</v>
      </c>
      <c r="F29" s="67" t="s">
        <v>39</v>
      </c>
      <c r="G29" s="162" t="s">
        <v>627</v>
      </c>
      <c r="H29" s="26">
        <v>14957</v>
      </c>
      <c r="I29" s="112">
        <v>14000</v>
      </c>
      <c r="J29" s="25">
        <f>SUM(K29,L29:T29)</f>
        <v>8400</v>
      </c>
      <c r="K29" s="25">
        <v>8400</v>
      </c>
      <c r="L29" s="25"/>
      <c r="M29" s="25"/>
      <c r="N29" s="25"/>
      <c r="O29" s="25"/>
      <c r="P29" s="25"/>
      <c r="Q29" s="25"/>
      <c r="R29" s="25"/>
      <c r="S29" s="25"/>
      <c r="T29" s="25"/>
      <c r="U29" s="25">
        <f>SUM(V29:Y29)</f>
        <v>6000</v>
      </c>
      <c r="V29" s="24"/>
      <c r="W29" s="25"/>
      <c r="X29" s="22"/>
      <c r="Y29" s="82">
        <v>6000</v>
      </c>
      <c r="Z29" s="22">
        <v>2400</v>
      </c>
      <c r="AA29" s="24"/>
      <c r="AB29" s="248"/>
      <c r="AC29" s="176">
        <f t="shared" si="2"/>
        <v>0</v>
      </c>
      <c r="AD29" s="154" t="e">
        <f>#REF!</f>
        <v>#REF!</v>
      </c>
      <c r="AE29" s="154" t="e">
        <f>AD29/2.5</f>
        <v>#REF!</v>
      </c>
      <c r="AF29" s="154">
        <f>Z29</f>
        <v>2400</v>
      </c>
      <c r="AG29" s="154"/>
      <c r="AH29" s="152" t="s">
        <v>290</v>
      </c>
      <c r="AI29" s="152" t="s">
        <v>291</v>
      </c>
      <c r="AJ29" s="33">
        <f>J29</f>
        <v>8400</v>
      </c>
      <c r="AK29" s="33" t="s">
        <v>378</v>
      </c>
      <c r="AL29" s="33"/>
      <c r="AM29" s="33"/>
    </row>
    <row r="30" spans="1:39" s="152" customFormat="1" ht="48.75" customHeight="1">
      <c r="A30" s="143" t="s">
        <v>710</v>
      </c>
      <c r="B30" s="153" t="s">
        <v>153</v>
      </c>
      <c r="C30" s="141"/>
      <c r="D30" s="141"/>
      <c r="E30" s="141"/>
      <c r="F30" s="141"/>
      <c r="G30" s="141"/>
      <c r="H30" s="24">
        <f t="shared" ref="H30:Y30" si="37">SUM(H31,H34)</f>
        <v>89123</v>
      </c>
      <c r="I30" s="24">
        <f t="shared" si="37"/>
        <v>35600</v>
      </c>
      <c r="J30" s="24">
        <f t="shared" si="37"/>
        <v>39900</v>
      </c>
      <c r="K30" s="24">
        <f t="shared" si="37"/>
        <v>30900</v>
      </c>
      <c r="L30" s="24">
        <f t="shared" si="37"/>
        <v>0</v>
      </c>
      <c r="M30" s="24">
        <f t="shared" si="37"/>
        <v>0</v>
      </c>
      <c r="N30" s="24">
        <f t="shared" si="37"/>
        <v>0</v>
      </c>
      <c r="O30" s="24">
        <f t="shared" si="37"/>
        <v>0</v>
      </c>
      <c r="P30" s="24">
        <f t="shared" si="37"/>
        <v>0</v>
      </c>
      <c r="Q30" s="24">
        <f t="shared" si="37"/>
        <v>0</v>
      </c>
      <c r="R30" s="24">
        <f t="shared" si="37"/>
        <v>0</v>
      </c>
      <c r="S30" s="24">
        <f t="shared" si="37"/>
        <v>0</v>
      </c>
      <c r="T30" s="24">
        <f t="shared" si="37"/>
        <v>9000</v>
      </c>
      <c r="U30" s="24">
        <f t="shared" si="37"/>
        <v>15200</v>
      </c>
      <c r="V30" s="24">
        <f t="shared" si="37"/>
        <v>0</v>
      </c>
      <c r="W30" s="24">
        <f t="shared" si="37"/>
        <v>0</v>
      </c>
      <c r="X30" s="24">
        <f t="shared" si="37"/>
        <v>0</v>
      </c>
      <c r="Y30" s="24">
        <f t="shared" si="37"/>
        <v>15200</v>
      </c>
      <c r="Z30" s="24">
        <f>SUM(Z31,Z34)</f>
        <v>24700</v>
      </c>
      <c r="AA30" s="24"/>
      <c r="AB30" s="248"/>
      <c r="AC30" s="176">
        <f t="shared" si="2"/>
        <v>0</v>
      </c>
    </row>
    <row r="31" spans="1:39" s="151" customFormat="1" ht="39.75" customHeight="1">
      <c r="A31" s="149" t="s">
        <v>16</v>
      </c>
      <c r="B31" s="150" t="s">
        <v>56</v>
      </c>
      <c r="C31" s="149"/>
      <c r="D31" s="149"/>
      <c r="E31" s="149"/>
      <c r="F31" s="149"/>
      <c r="G31" s="149"/>
      <c r="H31" s="57">
        <f t="shared" ref="H31:Y31" si="38">SUM(H32)</f>
        <v>31344</v>
      </c>
      <c r="I31" s="57">
        <f t="shared" si="38"/>
        <v>11300</v>
      </c>
      <c r="J31" s="57">
        <f t="shared" si="38"/>
        <v>15600</v>
      </c>
      <c r="K31" s="57">
        <f t="shared" si="38"/>
        <v>6600</v>
      </c>
      <c r="L31" s="57">
        <f t="shared" si="38"/>
        <v>0</v>
      </c>
      <c r="M31" s="57">
        <f t="shared" si="38"/>
        <v>0</v>
      </c>
      <c r="N31" s="57">
        <f t="shared" si="38"/>
        <v>0</v>
      </c>
      <c r="O31" s="57">
        <f t="shared" si="38"/>
        <v>0</v>
      </c>
      <c r="P31" s="57">
        <f t="shared" si="38"/>
        <v>0</v>
      </c>
      <c r="Q31" s="57">
        <f t="shared" si="38"/>
        <v>0</v>
      </c>
      <c r="R31" s="57">
        <f t="shared" si="38"/>
        <v>0</v>
      </c>
      <c r="S31" s="57">
        <f t="shared" si="38"/>
        <v>0</v>
      </c>
      <c r="T31" s="57">
        <f t="shared" si="38"/>
        <v>9000</v>
      </c>
      <c r="U31" s="57">
        <f t="shared" si="38"/>
        <v>6600</v>
      </c>
      <c r="V31" s="57">
        <f t="shared" si="38"/>
        <v>0</v>
      </c>
      <c r="W31" s="57">
        <f t="shared" si="38"/>
        <v>0</v>
      </c>
      <c r="X31" s="57">
        <f t="shared" si="38"/>
        <v>0</v>
      </c>
      <c r="Y31" s="57">
        <f t="shared" si="38"/>
        <v>6600</v>
      </c>
      <c r="Z31" s="57">
        <f>SUM(Z32)</f>
        <v>9000</v>
      </c>
      <c r="AA31" s="57"/>
      <c r="AB31" s="249"/>
      <c r="AC31" s="176">
        <f t="shared" si="2"/>
        <v>0</v>
      </c>
    </row>
    <row r="32" spans="1:39" s="152" customFormat="1" ht="39.75" customHeight="1">
      <c r="A32" s="141"/>
      <c r="B32" s="153" t="s">
        <v>159</v>
      </c>
      <c r="C32" s="141"/>
      <c r="D32" s="141"/>
      <c r="E32" s="141"/>
      <c r="F32" s="141"/>
      <c r="G32" s="141"/>
      <c r="H32" s="24">
        <f t="shared" ref="H32:Z32" si="39">SUM(H33:H33)</f>
        <v>31344</v>
      </c>
      <c r="I32" s="24">
        <f t="shared" si="39"/>
        <v>11300</v>
      </c>
      <c r="J32" s="24">
        <f t="shared" si="39"/>
        <v>15600</v>
      </c>
      <c r="K32" s="24">
        <f t="shared" si="39"/>
        <v>6600</v>
      </c>
      <c r="L32" s="24">
        <f t="shared" si="39"/>
        <v>0</v>
      </c>
      <c r="M32" s="24">
        <f t="shared" si="39"/>
        <v>0</v>
      </c>
      <c r="N32" s="24">
        <f t="shared" si="39"/>
        <v>0</v>
      </c>
      <c r="O32" s="24">
        <f t="shared" si="39"/>
        <v>0</v>
      </c>
      <c r="P32" s="24">
        <f t="shared" si="39"/>
        <v>0</v>
      </c>
      <c r="Q32" s="24">
        <f t="shared" si="39"/>
        <v>0</v>
      </c>
      <c r="R32" s="24">
        <f t="shared" si="39"/>
        <v>0</v>
      </c>
      <c r="S32" s="24">
        <f t="shared" si="39"/>
        <v>0</v>
      </c>
      <c r="T32" s="24">
        <f t="shared" si="39"/>
        <v>9000</v>
      </c>
      <c r="U32" s="24">
        <f t="shared" si="39"/>
        <v>6600</v>
      </c>
      <c r="V32" s="24">
        <f t="shared" si="39"/>
        <v>0</v>
      </c>
      <c r="W32" s="24">
        <f t="shared" si="39"/>
        <v>0</v>
      </c>
      <c r="X32" s="24">
        <f t="shared" si="39"/>
        <v>0</v>
      </c>
      <c r="Y32" s="24">
        <f t="shared" si="39"/>
        <v>6600</v>
      </c>
      <c r="Z32" s="24">
        <f t="shared" si="39"/>
        <v>9000</v>
      </c>
      <c r="AA32" s="24"/>
      <c r="AB32" s="248"/>
      <c r="AC32" s="176">
        <f t="shared" si="2"/>
        <v>0</v>
      </c>
    </row>
    <row r="33" spans="1:39" s="152" customFormat="1" ht="57.75" customHeight="1">
      <c r="A33" s="141">
        <v>3</v>
      </c>
      <c r="B33" s="140" t="s">
        <v>772</v>
      </c>
      <c r="C33" s="67" t="s">
        <v>159</v>
      </c>
      <c r="D33" s="67" t="s">
        <v>19</v>
      </c>
      <c r="E33" s="67" t="s">
        <v>160</v>
      </c>
      <c r="F33" s="67" t="s">
        <v>39</v>
      </c>
      <c r="G33" s="162" t="s">
        <v>628</v>
      </c>
      <c r="H33" s="26">
        <v>31344</v>
      </c>
      <c r="I33" s="112">
        <v>11300</v>
      </c>
      <c r="J33" s="25">
        <f>SUM(K33,L33:T33)</f>
        <v>15600</v>
      </c>
      <c r="K33" s="25">
        <v>6600</v>
      </c>
      <c r="L33" s="25"/>
      <c r="M33" s="25"/>
      <c r="N33" s="25"/>
      <c r="O33" s="25"/>
      <c r="P33" s="25"/>
      <c r="Q33" s="25"/>
      <c r="R33" s="25"/>
      <c r="S33" s="25"/>
      <c r="T33" s="25">
        <v>9000</v>
      </c>
      <c r="U33" s="25">
        <f>SUM(V33:Y33)</f>
        <v>6600</v>
      </c>
      <c r="V33" s="24"/>
      <c r="W33" s="25"/>
      <c r="X33" s="22"/>
      <c r="Y33" s="82">
        <v>6600</v>
      </c>
      <c r="Z33" s="22">
        <v>9000</v>
      </c>
      <c r="AA33" s="24"/>
      <c r="AB33" s="248"/>
      <c r="AC33" s="176">
        <f t="shared" si="2"/>
        <v>0</v>
      </c>
      <c r="AD33" s="154" t="e">
        <f>#REF!</f>
        <v>#REF!</v>
      </c>
      <c r="AE33" s="154" t="e">
        <f>AD33/2.5</f>
        <v>#REF!</v>
      </c>
      <c r="AF33" s="154">
        <f>Z33</f>
        <v>9000</v>
      </c>
      <c r="AG33" s="154"/>
      <c r="AH33" s="152" t="s">
        <v>290</v>
      </c>
      <c r="AI33" s="152" t="s">
        <v>291</v>
      </c>
      <c r="AJ33" s="33">
        <f>J33</f>
        <v>15600</v>
      </c>
      <c r="AK33" s="33" t="s">
        <v>378</v>
      </c>
      <c r="AL33" s="33"/>
      <c r="AM33" s="33"/>
    </row>
    <row r="34" spans="1:39" s="151" customFormat="1" ht="39.75" customHeight="1">
      <c r="A34" s="149" t="s">
        <v>24</v>
      </c>
      <c r="B34" s="150" t="s">
        <v>134</v>
      </c>
      <c r="C34" s="149"/>
      <c r="D34" s="149"/>
      <c r="E34" s="149"/>
      <c r="F34" s="149"/>
      <c r="G34" s="149"/>
      <c r="H34" s="57">
        <f>SUM(H35,H37)</f>
        <v>57779</v>
      </c>
      <c r="I34" s="57">
        <f t="shared" ref="I34:Z34" si="40">SUM(I35,I37)</f>
        <v>24300</v>
      </c>
      <c r="J34" s="57">
        <f t="shared" si="40"/>
        <v>24300</v>
      </c>
      <c r="K34" s="57">
        <f t="shared" si="40"/>
        <v>24300</v>
      </c>
      <c r="L34" s="57">
        <f t="shared" si="40"/>
        <v>0</v>
      </c>
      <c r="M34" s="57">
        <f t="shared" si="40"/>
        <v>0</v>
      </c>
      <c r="N34" s="57">
        <f t="shared" si="40"/>
        <v>0</v>
      </c>
      <c r="O34" s="57">
        <f t="shared" si="40"/>
        <v>0</v>
      </c>
      <c r="P34" s="57">
        <f t="shared" si="40"/>
        <v>0</v>
      </c>
      <c r="Q34" s="57">
        <f t="shared" si="40"/>
        <v>0</v>
      </c>
      <c r="R34" s="57">
        <f t="shared" si="40"/>
        <v>0</v>
      </c>
      <c r="S34" s="57">
        <f t="shared" si="40"/>
        <v>0</v>
      </c>
      <c r="T34" s="57">
        <f t="shared" si="40"/>
        <v>0</v>
      </c>
      <c r="U34" s="57">
        <f t="shared" si="40"/>
        <v>8600</v>
      </c>
      <c r="V34" s="57">
        <f t="shared" si="40"/>
        <v>0</v>
      </c>
      <c r="W34" s="57">
        <f t="shared" si="40"/>
        <v>0</v>
      </c>
      <c r="X34" s="57">
        <f t="shared" si="40"/>
        <v>0</v>
      </c>
      <c r="Y34" s="57">
        <f t="shared" si="40"/>
        <v>8600</v>
      </c>
      <c r="Z34" s="57">
        <f t="shared" si="40"/>
        <v>15700</v>
      </c>
      <c r="AA34" s="57"/>
      <c r="AB34" s="249"/>
      <c r="AC34" s="176">
        <f t="shared" si="2"/>
        <v>0</v>
      </c>
    </row>
    <row r="35" spans="1:39" s="152" customFormat="1" ht="39.75" customHeight="1">
      <c r="A35" s="141"/>
      <c r="B35" s="153" t="s">
        <v>159</v>
      </c>
      <c r="C35" s="141"/>
      <c r="D35" s="141"/>
      <c r="E35" s="141"/>
      <c r="F35" s="141"/>
      <c r="G35" s="141"/>
      <c r="H35" s="24">
        <f t="shared" ref="H35:Z35" si="41">SUM(H36:H36)</f>
        <v>43601</v>
      </c>
      <c r="I35" s="24">
        <f t="shared" si="41"/>
        <v>18600</v>
      </c>
      <c r="J35" s="24">
        <f t="shared" si="41"/>
        <v>18600</v>
      </c>
      <c r="K35" s="24">
        <f t="shared" si="41"/>
        <v>18600</v>
      </c>
      <c r="L35" s="24">
        <f t="shared" si="41"/>
        <v>0</v>
      </c>
      <c r="M35" s="24">
        <f t="shared" si="41"/>
        <v>0</v>
      </c>
      <c r="N35" s="24">
        <f t="shared" si="41"/>
        <v>0</v>
      </c>
      <c r="O35" s="24">
        <f t="shared" si="41"/>
        <v>0</v>
      </c>
      <c r="P35" s="24">
        <f t="shared" si="41"/>
        <v>0</v>
      </c>
      <c r="Q35" s="24">
        <f t="shared" si="41"/>
        <v>0</v>
      </c>
      <c r="R35" s="24">
        <f t="shared" si="41"/>
        <v>0</v>
      </c>
      <c r="S35" s="24">
        <f t="shared" si="41"/>
        <v>0</v>
      </c>
      <c r="T35" s="24">
        <f t="shared" si="41"/>
        <v>0</v>
      </c>
      <c r="U35" s="24">
        <f t="shared" si="41"/>
        <v>8600</v>
      </c>
      <c r="V35" s="24">
        <f t="shared" si="41"/>
        <v>0</v>
      </c>
      <c r="W35" s="24">
        <f t="shared" si="41"/>
        <v>0</v>
      </c>
      <c r="X35" s="24">
        <f t="shared" si="41"/>
        <v>0</v>
      </c>
      <c r="Y35" s="24">
        <f t="shared" si="41"/>
        <v>8600</v>
      </c>
      <c r="Z35" s="24">
        <f t="shared" si="41"/>
        <v>10000</v>
      </c>
      <c r="AA35" s="24"/>
      <c r="AB35" s="248"/>
      <c r="AC35" s="176">
        <f t="shared" si="2"/>
        <v>0</v>
      </c>
    </row>
    <row r="36" spans="1:39" s="152" customFormat="1" ht="57.75" customHeight="1">
      <c r="A36" s="141">
        <v>1</v>
      </c>
      <c r="B36" s="140" t="s">
        <v>164</v>
      </c>
      <c r="C36" s="67" t="s">
        <v>159</v>
      </c>
      <c r="D36" s="67" t="s">
        <v>19</v>
      </c>
      <c r="E36" s="67" t="s">
        <v>165</v>
      </c>
      <c r="F36" s="67" t="s">
        <v>39</v>
      </c>
      <c r="G36" s="162" t="s">
        <v>630</v>
      </c>
      <c r="H36" s="26">
        <v>43601</v>
      </c>
      <c r="I36" s="112">
        <v>18600</v>
      </c>
      <c r="J36" s="25">
        <f>SUM(K36,L36:T36)</f>
        <v>18600</v>
      </c>
      <c r="K36" s="25">
        <v>18600</v>
      </c>
      <c r="L36" s="25"/>
      <c r="M36" s="25"/>
      <c r="N36" s="25"/>
      <c r="O36" s="25"/>
      <c r="P36" s="25"/>
      <c r="Q36" s="25"/>
      <c r="R36" s="25"/>
      <c r="S36" s="25"/>
      <c r="T36" s="25"/>
      <c r="U36" s="25">
        <f>SUM(V36:Y36)</f>
        <v>8600</v>
      </c>
      <c r="V36" s="24"/>
      <c r="W36" s="25"/>
      <c r="X36" s="22"/>
      <c r="Y36" s="82">
        <v>8600</v>
      </c>
      <c r="Z36" s="22">
        <v>10000</v>
      </c>
      <c r="AA36" s="24"/>
      <c r="AB36" s="248"/>
      <c r="AC36" s="176">
        <f t="shared" si="2"/>
        <v>0</v>
      </c>
      <c r="AD36" s="154" t="e">
        <f>#REF!</f>
        <v>#REF!</v>
      </c>
      <c r="AE36" s="154" t="e">
        <f>AD36/2.5</f>
        <v>#REF!</v>
      </c>
      <c r="AF36" s="154">
        <f>Z36</f>
        <v>10000</v>
      </c>
      <c r="AG36" s="154"/>
      <c r="AH36" s="152" t="s">
        <v>290</v>
      </c>
      <c r="AI36" s="152" t="s">
        <v>276</v>
      </c>
      <c r="AJ36" s="33">
        <f>J36</f>
        <v>18600</v>
      </c>
      <c r="AK36" s="33"/>
      <c r="AL36" s="33"/>
      <c r="AM36" s="33"/>
    </row>
    <row r="37" spans="1:39" s="152" customFormat="1" ht="39.75" customHeight="1">
      <c r="A37" s="141"/>
      <c r="B37" s="153" t="s">
        <v>155</v>
      </c>
      <c r="C37" s="141"/>
      <c r="D37" s="141"/>
      <c r="E37" s="141"/>
      <c r="F37" s="141"/>
      <c r="G37" s="141"/>
      <c r="H37" s="24">
        <f t="shared" ref="H37:Y37" si="42">SUM(H38:H38)</f>
        <v>14178</v>
      </c>
      <c r="I37" s="24">
        <f t="shared" si="42"/>
        <v>5700</v>
      </c>
      <c r="J37" s="24">
        <f t="shared" si="42"/>
        <v>5700</v>
      </c>
      <c r="K37" s="24">
        <f t="shared" si="42"/>
        <v>5700</v>
      </c>
      <c r="L37" s="24">
        <f t="shared" si="42"/>
        <v>0</v>
      </c>
      <c r="M37" s="24">
        <f t="shared" si="42"/>
        <v>0</v>
      </c>
      <c r="N37" s="24">
        <f t="shared" si="42"/>
        <v>0</v>
      </c>
      <c r="O37" s="24">
        <f t="shared" si="42"/>
        <v>0</v>
      </c>
      <c r="P37" s="24">
        <f t="shared" si="42"/>
        <v>0</v>
      </c>
      <c r="Q37" s="24">
        <f t="shared" si="42"/>
        <v>0</v>
      </c>
      <c r="R37" s="24">
        <f t="shared" si="42"/>
        <v>0</v>
      </c>
      <c r="S37" s="24">
        <f t="shared" si="42"/>
        <v>0</v>
      </c>
      <c r="T37" s="24">
        <f t="shared" si="42"/>
        <v>0</v>
      </c>
      <c r="U37" s="24">
        <f t="shared" si="42"/>
        <v>0</v>
      </c>
      <c r="V37" s="24">
        <f t="shared" si="42"/>
        <v>0</v>
      </c>
      <c r="W37" s="24">
        <f t="shared" si="42"/>
        <v>0</v>
      </c>
      <c r="X37" s="24">
        <f t="shared" si="42"/>
        <v>0</v>
      </c>
      <c r="Y37" s="24">
        <f t="shared" si="42"/>
        <v>0</v>
      </c>
      <c r="Z37" s="24">
        <f>SUM(Z38:Z38)</f>
        <v>5700</v>
      </c>
      <c r="AA37" s="24"/>
      <c r="AB37" s="248"/>
      <c r="AC37" s="176">
        <f>J37-U37-Z37</f>
        <v>0</v>
      </c>
    </row>
    <row r="38" spans="1:39" s="152" customFormat="1" ht="57.75" customHeight="1">
      <c r="A38" s="141">
        <v>1</v>
      </c>
      <c r="B38" s="140" t="s">
        <v>163</v>
      </c>
      <c r="C38" s="67" t="s">
        <v>155</v>
      </c>
      <c r="D38" s="67" t="s">
        <v>19</v>
      </c>
      <c r="E38" s="67" t="s">
        <v>767</v>
      </c>
      <c r="F38" s="67" t="s">
        <v>563</v>
      </c>
      <c r="G38" s="141" t="s">
        <v>766</v>
      </c>
      <c r="H38" s="26">
        <v>14178</v>
      </c>
      <c r="I38" s="112">
        <v>5700</v>
      </c>
      <c r="J38" s="25">
        <f>SUM(K38,L38:T38)</f>
        <v>5700</v>
      </c>
      <c r="K38" s="25">
        <v>5700</v>
      </c>
      <c r="L38" s="24"/>
      <c r="M38" s="24"/>
      <c r="N38" s="24"/>
      <c r="O38" s="24"/>
      <c r="P38" s="24"/>
      <c r="Q38" s="24"/>
      <c r="R38" s="24"/>
      <c r="S38" s="24"/>
      <c r="T38" s="24"/>
      <c r="U38" s="25">
        <f>SUM(V38:Y38)</f>
        <v>0</v>
      </c>
      <c r="V38" s="24"/>
      <c r="W38" s="24"/>
      <c r="X38" s="22"/>
      <c r="Y38" s="22"/>
      <c r="Z38" s="22">
        <v>5700</v>
      </c>
      <c r="AA38" s="24"/>
      <c r="AB38" s="248"/>
      <c r="AC38" s="176">
        <f>J38-U38-Z38</f>
        <v>0</v>
      </c>
      <c r="AD38" s="154" t="e">
        <f>#REF!</f>
        <v>#REF!</v>
      </c>
      <c r="AE38" s="154" t="e">
        <f>AD38/2.5</f>
        <v>#REF!</v>
      </c>
      <c r="AF38" s="154">
        <f>Z38</f>
        <v>5700</v>
      </c>
      <c r="AG38" s="154"/>
      <c r="AH38" s="152" t="s">
        <v>290</v>
      </c>
      <c r="AI38" s="152" t="s">
        <v>276</v>
      </c>
      <c r="AJ38" s="33">
        <f>J38</f>
        <v>5700</v>
      </c>
      <c r="AK38" s="33"/>
      <c r="AL38" s="33"/>
      <c r="AM38" s="33"/>
    </row>
    <row r="39" spans="1:39" s="152" customFormat="1" ht="48.75" customHeight="1">
      <c r="A39" s="143" t="s">
        <v>523</v>
      </c>
      <c r="B39" s="153" t="s">
        <v>169</v>
      </c>
      <c r="C39" s="141"/>
      <c r="D39" s="141"/>
      <c r="E39" s="141"/>
      <c r="F39" s="141"/>
      <c r="G39" s="141"/>
      <c r="H39" s="24">
        <f t="shared" ref="H39:Y39" si="43">SUM(H40,H43)</f>
        <v>106467</v>
      </c>
      <c r="I39" s="24">
        <f t="shared" si="43"/>
        <v>70300</v>
      </c>
      <c r="J39" s="24">
        <f t="shared" si="43"/>
        <v>29800</v>
      </c>
      <c r="K39" s="24">
        <f t="shared" si="43"/>
        <v>31500</v>
      </c>
      <c r="L39" s="24">
        <f t="shared" si="43"/>
        <v>0</v>
      </c>
      <c r="M39" s="24">
        <f t="shared" si="43"/>
        <v>0</v>
      </c>
      <c r="N39" s="24">
        <f t="shared" si="43"/>
        <v>0</v>
      </c>
      <c r="O39" s="24">
        <f t="shared" si="43"/>
        <v>0</v>
      </c>
      <c r="P39" s="24">
        <f t="shared" si="43"/>
        <v>0</v>
      </c>
      <c r="Q39" s="24">
        <f t="shared" si="43"/>
        <v>0</v>
      </c>
      <c r="R39" s="24">
        <f t="shared" si="43"/>
        <v>0</v>
      </c>
      <c r="S39" s="24">
        <f t="shared" si="43"/>
        <v>0</v>
      </c>
      <c r="T39" s="24">
        <f t="shared" si="43"/>
        <v>0</v>
      </c>
      <c r="U39" s="24">
        <f t="shared" si="43"/>
        <v>18000</v>
      </c>
      <c r="V39" s="24">
        <f t="shared" si="43"/>
        <v>0</v>
      </c>
      <c r="W39" s="24">
        <f t="shared" si="43"/>
        <v>0</v>
      </c>
      <c r="X39" s="24">
        <f t="shared" si="43"/>
        <v>0</v>
      </c>
      <c r="Y39" s="24">
        <f t="shared" si="43"/>
        <v>18000</v>
      </c>
      <c r="Z39" s="24">
        <f>SUM(Z40,Z43)</f>
        <v>11800</v>
      </c>
      <c r="AA39" s="24"/>
      <c r="AB39" s="248"/>
      <c r="AC39" s="176">
        <f t="shared" si="2"/>
        <v>0</v>
      </c>
    </row>
    <row r="40" spans="1:39" s="151" customFormat="1" ht="39.75" customHeight="1">
      <c r="A40" s="149" t="s">
        <v>16</v>
      </c>
      <c r="B40" s="150" t="s">
        <v>56</v>
      </c>
      <c r="C40" s="149"/>
      <c r="D40" s="149"/>
      <c r="E40" s="149"/>
      <c r="F40" s="149"/>
      <c r="G40" s="149"/>
      <c r="H40" s="57">
        <f t="shared" ref="H40:Y40" si="44">SUM(H41)</f>
        <v>32188</v>
      </c>
      <c r="I40" s="57">
        <f t="shared" si="44"/>
        <v>21900</v>
      </c>
      <c r="J40" s="57">
        <f t="shared" si="44"/>
        <v>700</v>
      </c>
      <c r="K40" s="57">
        <f t="shared" si="44"/>
        <v>2400</v>
      </c>
      <c r="L40" s="57">
        <f t="shared" si="44"/>
        <v>0</v>
      </c>
      <c r="M40" s="57">
        <f t="shared" si="44"/>
        <v>0</v>
      </c>
      <c r="N40" s="57">
        <f t="shared" si="44"/>
        <v>0</v>
      </c>
      <c r="O40" s="57">
        <f t="shared" si="44"/>
        <v>0</v>
      </c>
      <c r="P40" s="57">
        <f t="shared" si="44"/>
        <v>0</v>
      </c>
      <c r="Q40" s="57">
        <f t="shared" si="44"/>
        <v>0</v>
      </c>
      <c r="R40" s="57">
        <f t="shared" si="44"/>
        <v>0</v>
      </c>
      <c r="S40" s="57">
        <f t="shared" si="44"/>
        <v>0</v>
      </c>
      <c r="T40" s="57">
        <f t="shared" si="44"/>
        <v>0</v>
      </c>
      <c r="U40" s="57">
        <f t="shared" si="44"/>
        <v>0</v>
      </c>
      <c r="V40" s="57">
        <f t="shared" si="44"/>
        <v>0</v>
      </c>
      <c r="W40" s="57">
        <f t="shared" si="44"/>
        <v>0</v>
      </c>
      <c r="X40" s="57">
        <f t="shared" si="44"/>
        <v>0</v>
      </c>
      <c r="Y40" s="57">
        <f t="shared" si="44"/>
        <v>0</v>
      </c>
      <c r="Z40" s="57">
        <f>SUM(Z41)</f>
        <v>700</v>
      </c>
      <c r="AA40" s="57"/>
      <c r="AB40" s="249"/>
      <c r="AC40" s="176">
        <f t="shared" si="2"/>
        <v>0</v>
      </c>
    </row>
    <row r="41" spans="1:39" s="152" customFormat="1" ht="39.75" customHeight="1">
      <c r="A41" s="141"/>
      <c r="B41" s="153" t="s">
        <v>696</v>
      </c>
      <c r="C41" s="141"/>
      <c r="D41" s="141"/>
      <c r="E41" s="141"/>
      <c r="F41" s="141"/>
      <c r="G41" s="141"/>
      <c r="H41" s="24">
        <f t="shared" ref="H41:Y41" si="45">SUM(H42:H42)</f>
        <v>32188</v>
      </c>
      <c r="I41" s="24">
        <f t="shared" si="45"/>
        <v>21900</v>
      </c>
      <c r="J41" s="24">
        <f t="shared" si="45"/>
        <v>700</v>
      </c>
      <c r="K41" s="24">
        <f t="shared" si="45"/>
        <v>2400</v>
      </c>
      <c r="L41" s="24">
        <f t="shared" si="45"/>
        <v>0</v>
      </c>
      <c r="M41" s="24">
        <f t="shared" si="45"/>
        <v>0</v>
      </c>
      <c r="N41" s="24">
        <f t="shared" si="45"/>
        <v>0</v>
      </c>
      <c r="O41" s="24">
        <f t="shared" si="45"/>
        <v>0</v>
      </c>
      <c r="P41" s="24">
        <f t="shared" si="45"/>
        <v>0</v>
      </c>
      <c r="Q41" s="24">
        <f t="shared" si="45"/>
        <v>0</v>
      </c>
      <c r="R41" s="24">
        <f t="shared" si="45"/>
        <v>0</v>
      </c>
      <c r="S41" s="24">
        <f t="shared" si="45"/>
        <v>0</v>
      </c>
      <c r="T41" s="24">
        <f t="shared" si="45"/>
        <v>0</v>
      </c>
      <c r="U41" s="24">
        <f t="shared" si="45"/>
        <v>0</v>
      </c>
      <c r="V41" s="24">
        <f t="shared" si="45"/>
        <v>0</v>
      </c>
      <c r="W41" s="24">
        <f t="shared" si="45"/>
        <v>0</v>
      </c>
      <c r="X41" s="24">
        <f t="shared" si="45"/>
        <v>0</v>
      </c>
      <c r="Y41" s="24">
        <f t="shared" si="45"/>
        <v>0</v>
      </c>
      <c r="Z41" s="24">
        <f>SUM(Z42:Z42)</f>
        <v>700</v>
      </c>
      <c r="AA41" s="24"/>
      <c r="AB41" s="248"/>
      <c r="AC41" s="176">
        <f t="shared" si="2"/>
        <v>0</v>
      </c>
    </row>
    <row r="42" spans="1:39" ht="60" customHeight="1">
      <c r="A42" s="141">
        <v>1</v>
      </c>
      <c r="B42" s="155" t="s">
        <v>170</v>
      </c>
      <c r="C42" s="141" t="s">
        <v>171</v>
      </c>
      <c r="D42" s="141" t="s">
        <v>19</v>
      </c>
      <c r="E42" s="141" t="s">
        <v>172</v>
      </c>
      <c r="F42" s="141" t="s">
        <v>39</v>
      </c>
      <c r="G42" s="137" t="s">
        <v>631</v>
      </c>
      <c r="H42" s="115">
        <v>32188</v>
      </c>
      <c r="I42" s="112">
        <v>21900</v>
      </c>
      <c r="J42" s="25">
        <f>SUM(K42,L42:T42)-1700</f>
        <v>700</v>
      </c>
      <c r="K42" s="115">
        <v>2400</v>
      </c>
      <c r="L42" s="115"/>
      <c r="M42" s="115"/>
      <c r="N42" s="115"/>
      <c r="O42" s="115"/>
      <c r="P42" s="115"/>
      <c r="Q42" s="115"/>
      <c r="R42" s="115"/>
      <c r="S42" s="115"/>
      <c r="T42" s="115"/>
      <c r="U42" s="25">
        <f>SUM(V42:Y42)</f>
        <v>0</v>
      </c>
      <c r="V42" s="115"/>
      <c r="W42" s="115"/>
      <c r="X42" s="22"/>
      <c r="Y42" s="22"/>
      <c r="Z42" s="22">
        <v>700</v>
      </c>
      <c r="AA42" s="158"/>
      <c r="AB42" s="271" t="s">
        <v>911</v>
      </c>
      <c r="AC42" s="176">
        <f t="shared" si="2"/>
        <v>0</v>
      </c>
      <c r="AD42" s="154" t="e">
        <f>#REF!</f>
        <v>#REF!</v>
      </c>
      <c r="AE42" s="154" t="e">
        <f t="shared" ref="AE42" si="46">AD42/2.5</f>
        <v>#REF!</v>
      </c>
      <c r="AF42" s="154">
        <f>Z42</f>
        <v>700</v>
      </c>
      <c r="AG42" s="154"/>
      <c r="AH42" s="152" t="s">
        <v>290</v>
      </c>
      <c r="AI42" s="152" t="s">
        <v>291</v>
      </c>
      <c r="AJ42" s="33">
        <f>J42</f>
        <v>700</v>
      </c>
      <c r="AK42" s="33" t="s">
        <v>378</v>
      </c>
      <c r="AL42" s="33"/>
      <c r="AM42" s="33"/>
    </row>
    <row r="43" spans="1:39" s="151" customFormat="1" ht="39.75" customHeight="1">
      <c r="A43" s="149" t="s">
        <v>24</v>
      </c>
      <c r="B43" s="150" t="s">
        <v>134</v>
      </c>
      <c r="C43" s="149"/>
      <c r="D43" s="149"/>
      <c r="E43" s="149"/>
      <c r="F43" s="149"/>
      <c r="G43" s="149"/>
      <c r="H43" s="57">
        <f t="shared" ref="H43:Y43" si="47">SUM(H44)</f>
        <v>74279</v>
      </c>
      <c r="I43" s="57">
        <f t="shared" si="47"/>
        <v>48400</v>
      </c>
      <c r="J43" s="57">
        <f t="shared" si="47"/>
        <v>29100</v>
      </c>
      <c r="K43" s="57">
        <f t="shared" si="47"/>
        <v>29100</v>
      </c>
      <c r="L43" s="57">
        <f t="shared" si="47"/>
        <v>0</v>
      </c>
      <c r="M43" s="57">
        <f t="shared" si="47"/>
        <v>0</v>
      </c>
      <c r="N43" s="57">
        <f t="shared" si="47"/>
        <v>0</v>
      </c>
      <c r="O43" s="57">
        <f t="shared" si="47"/>
        <v>0</v>
      </c>
      <c r="P43" s="57">
        <f t="shared" si="47"/>
        <v>0</v>
      </c>
      <c r="Q43" s="57">
        <f t="shared" si="47"/>
        <v>0</v>
      </c>
      <c r="R43" s="57">
        <f t="shared" si="47"/>
        <v>0</v>
      </c>
      <c r="S43" s="57">
        <f t="shared" si="47"/>
        <v>0</v>
      </c>
      <c r="T43" s="57">
        <f t="shared" si="47"/>
        <v>0</v>
      </c>
      <c r="U43" s="57">
        <f t="shared" si="47"/>
        <v>18000</v>
      </c>
      <c r="V43" s="57">
        <f t="shared" si="47"/>
        <v>0</v>
      </c>
      <c r="W43" s="57">
        <f t="shared" si="47"/>
        <v>0</v>
      </c>
      <c r="X43" s="57">
        <f t="shared" si="47"/>
        <v>0</v>
      </c>
      <c r="Y43" s="57">
        <f t="shared" si="47"/>
        <v>18000</v>
      </c>
      <c r="Z43" s="57">
        <f t="shared" ref="Z43" si="48">SUM(Z44)</f>
        <v>11100</v>
      </c>
      <c r="AA43" s="57"/>
      <c r="AB43" s="249"/>
      <c r="AC43" s="176">
        <f t="shared" si="2"/>
        <v>0</v>
      </c>
    </row>
    <row r="44" spans="1:39" s="152" customFormat="1" ht="39.75" customHeight="1">
      <c r="A44" s="141"/>
      <c r="B44" s="153" t="s">
        <v>443</v>
      </c>
      <c r="C44" s="141"/>
      <c r="D44" s="141"/>
      <c r="E44" s="141"/>
      <c r="F44" s="141"/>
      <c r="G44" s="141"/>
      <c r="H44" s="24">
        <f t="shared" ref="H44:Y44" si="49">SUM(H45:H47)</f>
        <v>74279</v>
      </c>
      <c r="I44" s="24">
        <f t="shared" si="49"/>
        <v>48400</v>
      </c>
      <c r="J44" s="24">
        <f t="shared" si="49"/>
        <v>29100</v>
      </c>
      <c r="K44" s="24">
        <f t="shared" si="49"/>
        <v>29100</v>
      </c>
      <c r="L44" s="24">
        <f t="shared" si="49"/>
        <v>0</v>
      </c>
      <c r="M44" s="24">
        <f t="shared" si="49"/>
        <v>0</v>
      </c>
      <c r="N44" s="24">
        <f t="shared" si="49"/>
        <v>0</v>
      </c>
      <c r="O44" s="24">
        <f t="shared" si="49"/>
        <v>0</v>
      </c>
      <c r="P44" s="24">
        <f t="shared" si="49"/>
        <v>0</v>
      </c>
      <c r="Q44" s="24">
        <f t="shared" si="49"/>
        <v>0</v>
      </c>
      <c r="R44" s="24">
        <f t="shared" si="49"/>
        <v>0</v>
      </c>
      <c r="S44" s="24">
        <f t="shared" si="49"/>
        <v>0</v>
      </c>
      <c r="T44" s="24">
        <f t="shared" si="49"/>
        <v>0</v>
      </c>
      <c r="U44" s="24">
        <f t="shared" si="49"/>
        <v>18000</v>
      </c>
      <c r="V44" s="24">
        <f t="shared" si="49"/>
        <v>0</v>
      </c>
      <c r="W44" s="24">
        <f t="shared" si="49"/>
        <v>0</v>
      </c>
      <c r="X44" s="24">
        <f t="shared" si="49"/>
        <v>0</v>
      </c>
      <c r="Y44" s="24">
        <f t="shared" si="49"/>
        <v>18000</v>
      </c>
      <c r="Z44" s="24">
        <f>SUM(Z45:Z47)</f>
        <v>11100</v>
      </c>
      <c r="AA44" s="24"/>
      <c r="AB44" s="248"/>
      <c r="AC44" s="176">
        <f t="shared" si="2"/>
        <v>0</v>
      </c>
    </row>
    <row r="45" spans="1:39" s="152" customFormat="1" ht="57.75" customHeight="1">
      <c r="A45" s="141">
        <v>1</v>
      </c>
      <c r="B45" s="140" t="s">
        <v>445</v>
      </c>
      <c r="C45" s="67" t="s">
        <v>443</v>
      </c>
      <c r="D45" s="67" t="s">
        <v>19</v>
      </c>
      <c r="E45" s="67" t="s">
        <v>446</v>
      </c>
      <c r="F45" s="67" t="s">
        <v>39</v>
      </c>
      <c r="G45" s="162" t="s">
        <v>634</v>
      </c>
      <c r="H45" s="26">
        <v>20029</v>
      </c>
      <c r="I45" s="112">
        <v>13100</v>
      </c>
      <c r="J45" s="25">
        <f>SUM(K45,L45:T45)</f>
        <v>7800</v>
      </c>
      <c r="K45" s="25">
        <v>7800</v>
      </c>
      <c r="L45" s="25"/>
      <c r="M45" s="25"/>
      <c r="N45" s="25"/>
      <c r="O45" s="25"/>
      <c r="P45" s="25"/>
      <c r="Q45" s="25"/>
      <c r="R45" s="25"/>
      <c r="S45" s="25"/>
      <c r="T45" s="25"/>
      <c r="U45" s="25">
        <f>SUM(V45:Y45)</f>
        <v>4100</v>
      </c>
      <c r="V45" s="24"/>
      <c r="W45" s="25"/>
      <c r="X45" s="22"/>
      <c r="Y45" s="82">
        <v>4100</v>
      </c>
      <c r="Z45" s="22">
        <v>3700</v>
      </c>
      <c r="AA45" s="24"/>
      <c r="AB45" s="248"/>
      <c r="AC45" s="176">
        <f t="shared" si="2"/>
        <v>0</v>
      </c>
      <c r="AD45" s="154"/>
      <c r="AE45" s="154"/>
      <c r="AF45" s="154">
        <f>Z45</f>
        <v>3700</v>
      </c>
      <c r="AG45" s="154"/>
      <c r="AJ45" s="33"/>
      <c r="AK45" s="33"/>
      <c r="AL45" s="33"/>
      <c r="AM45" s="33"/>
    </row>
    <row r="46" spans="1:39" s="152" customFormat="1" ht="57.75" customHeight="1">
      <c r="A46" s="141">
        <v>2</v>
      </c>
      <c r="B46" s="140" t="s">
        <v>447</v>
      </c>
      <c r="C46" s="67" t="s">
        <v>443</v>
      </c>
      <c r="D46" s="67" t="s">
        <v>19</v>
      </c>
      <c r="E46" s="67" t="s">
        <v>448</v>
      </c>
      <c r="F46" s="67" t="s">
        <v>39</v>
      </c>
      <c r="G46" s="162" t="s">
        <v>633</v>
      </c>
      <c r="H46" s="26">
        <v>14260</v>
      </c>
      <c r="I46" s="112">
        <v>10700</v>
      </c>
      <c r="J46" s="25">
        <f>SUM(K46,L46:T46)</f>
        <v>6300</v>
      </c>
      <c r="K46" s="25">
        <v>6300</v>
      </c>
      <c r="L46" s="25"/>
      <c r="M46" s="25"/>
      <c r="N46" s="25"/>
      <c r="O46" s="25"/>
      <c r="P46" s="25"/>
      <c r="Q46" s="25"/>
      <c r="R46" s="25"/>
      <c r="S46" s="25"/>
      <c r="T46" s="25"/>
      <c r="U46" s="25">
        <f>SUM(V46:Y46)</f>
        <v>3500</v>
      </c>
      <c r="V46" s="24"/>
      <c r="W46" s="25"/>
      <c r="X46" s="22"/>
      <c r="Y46" s="82">
        <v>3500</v>
      </c>
      <c r="Z46" s="22">
        <v>2800</v>
      </c>
      <c r="AA46" s="24"/>
      <c r="AB46" s="248"/>
      <c r="AC46" s="176">
        <f t="shared" si="2"/>
        <v>0</v>
      </c>
      <c r="AD46" s="154"/>
      <c r="AE46" s="154"/>
      <c r="AF46" s="154">
        <f>Z46</f>
        <v>2800</v>
      </c>
      <c r="AG46" s="154"/>
      <c r="AJ46" s="33"/>
      <c r="AK46" s="33"/>
      <c r="AL46" s="33"/>
      <c r="AM46" s="33"/>
    </row>
    <row r="47" spans="1:39" s="152" customFormat="1" ht="57.75" customHeight="1">
      <c r="A47" s="141">
        <v>3</v>
      </c>
      <c r="B47" s="140" t="s">
        <v>444</v>
      </c>
      <c r="C47" s="67" t="s">
        <v>443</v>
      </c>
      <c r="D47" s="67" t="s">
        <v>19</v>
      </c>
      <c r="E47" s="67" t="s">
        <v>137</v>
      </c>
      <c r="F47" s="67" t="s">
        <v>39</v>
      </c>
      <c r="G47" s="162" t="s">
        <v>632</v>
      </c>
      <c r="H47" s="26">
        <v>39990</v>
      </c>
      <c r="I47" s="112">
        <v>24600</v>
      </c>
      <c r="J47" s="25">
        <f>SUM(K47,L47:T47)</f>
        <v>15000</v>
      </c>
      <c r="K47" s="25">
        <v>15000</v>
      </c>
      <c r="L47" s="25"/>
      <c r="M47" s="25"/>
      <c r="N47" s="25"/>
      <c r="O47" s="25"/>
      <c r="P47" s="25"/>
      <c r="Q47" s="25"/>
      <c r="R47" s="25"/>
      <c r="S47" s="25"/>
      <c r="T47" s="25"/>
      <c r="U47" s="25">
        <f>SUM(V47:Y47)</f>
        <v>10400</v>
      </c>
      <c r="V47" s="24"/>
      <c r="W47" s="25"/>
      <c r="X47" s="22"/>
      <c r="Y47" s="22">
        <v>10400</v>
      </c>
      <c r="Z47" s="22">
        <v>4600</v>
      </c>
      <c r="AA47" s="24"/>
      <c r="AB47" s="248"/>
      <c r="AC47" s="176">
        <f t="shared" si="2"/>
        <v>0</v>
      </c>
      <c r="AD47" s="154"/>
      <c r="AE47" s="154"/>
      <c r="AF47" s="154">
        <f>Z47</f>
        <v>4600</v>
      </c>
      <c r="AG47" s="154"/>
      <c r="AJ47" s="33"/>
      <c r="AK47" s="33"/>
      <c r="AL47" s="33"/>
      <c r="AM47" s="33"/>
    </row>
    <row r="48" spans="1:39" s="152" customFormat="1" ht="58.5" customHeight="1">
      <c r="A48" s="143" t="s">
        <v>34</v>
      </c>
      <c r="B48" s="19" t="s">
        <v>35</v>
      </c>
      <c r="C48" s="143"/>
      <c r="D48" s="143"/>
      <c r="E48" s="143"/>
      <c r="F48" s="143"/>
      <c r="G48" s="24">
        <f t="shared" ref="G48:Z48" si="50">SUM(G49,G64,G80)</f>
        <v>0</v>
      </c>
      <c r="H48" s="24">
        <f t="shared" si="50"/>
        <v>234603</v>
      </c>
      <c r="I48" s="24">
        <f t="shared" si="50"/>
        <v>108000</v>
      </c>
      <c r="J48" s="24">
        <f t="shared" si="50"/>
        <v>81815</v>
      </c>
      <c r="K48" s="24">
        <f t="shared" si="50"/>
        <v>66700</v>
      </c>
      <c r="L48" s="24">
        <f t="shared" si="50"/>
        <v>0</v>
      </c>
      <c r="M48" s="24">
        <f t="shared" si="50"/>
        <v>0</v>
      </c>
      <c r="N48" s="24">
        <f t="shared" si="50"/>
        <v>0</v>
      </c>
      <c r="O48" s="24">
        <f t="shared" si="50"/>
        <v>0</v>
      </c>
      <c r="P48" s="24">
        <f t="shared" si="50"/>
        <v>19500</v>
      </c>
      <c r="Q48" s="24">
        <f t="shared" si="50"/>
        <v>0</v>
      </c>
      <c r="R48" s="24">
        <f t="shared" si="50"/>
        <v>0</v>
      </c>
      <c r="S48" s="24">
        <f t="shared" si="50"/>
        <v>0</v>
      </c>
      <c r="T48" s="24">
        <f t="shared" si="50"/>
        <v>0</v>
      </c>
      <c r="U48" s="24">
        <f t="shared" si="50"/>
        <v>0</v>
      </c>
      <c r="V48" s="24">
        <f t="shared" si="50"/>
        <v>0</v>
      </c>
      <c r="W48" s="24">
        <f t="shared" si="50"/>
        <v>0</v>
      </c>
      <c r="X48" s="24">
        <f t="shared" si="50"/>
        <v>0</v>
      </c>
      <c r="Y48" s="24">
        <f t="shared" si="50"/>
        <v>0</v>
      </c>
      <c r="Z48" s="24">
        <f t="shared" si="50"/>
        <v>81815</v>
      </c>
      <c r="AA48" s="24"/>
      <c r="AB48" s="248"/>
      <c r="AC48" s="176">
        <f t="shared" si="2"/>
        <v>0</v>
      </c>
    </row>
    <row r="49" spans="1:39" s="152" customFormat="1" ht="48.75" customHeight="1">
      <c r="A49" s="143" t="s">
        <v>295</v>
      </c>
      <c r="B49" s="153" t="s">
        <v>116</v>
      </c>
      <c r="C49" s="141"/>
      <c r="D49" s="141"/>
      <c r="E49" s="141"/>
      <c r="F49" s="141"/>
      <c r="G49" s="141"/>
      <c r="H49" s="24">
        <f t="shared" ref="H49:Y49" si="51">SUM(H50,H54,H57)</f>
        <v>119147</v>
      </c>
      <c r="I49" s="24">
        <f t="shared" si="51"/>
        <v>51500</v>
      </c>
      <c r="J49" s="24">
        <f t="shared" si="51"/>
        <v>38100</v>
      </c>
      <c r="K49" s="24">
        <f t="shared" si="51"/>
        <v>38100</v>
      </c>
      <c r="L49" s="24">
        <f t="shared" si="51"/>
        <v>0</v>
      </c>
      <c r="M49" s="24">
        <f t="shared" si="51"/>
        <v>0</v>
      </c>
      <c r="N49" s="24">
        <f t="shared" si="51"/>
        <v>0</v>
      </c>
      <c r="O49" s="24">
        <f t="shared" si="51"/>
        <v>0</v>
      </c>
      <c r="P49" s="24">
        <f t="shared" si="51"/>
        <v>0</v>
      </c>
      <c r="Q49" s="24">
        <f t="shared" si="51"/>
        <v>0</v>
      </c>
      <c r="R49" s="24">
        <f t="shared" si="51"/>
        <v>0</v>
      </c>
      <c r="S49" s="24">
        <f t="shared" si="51"/>
        <v>0</v>
      </c>
      <c r="T49" s="24">
        <f t="shared" si="51"/>
        <v>0</v>
      </c>
      <c r="U49" s="24">
        <f t="shared" si="51"/>
        <v>0</v>
      </c>
      <c r="V49" s="24">
        <f t="shared" si="51"/>
        <v>0</v>
      </c>
      <c r="W49" s="24">
        <f t="shared" si="51"/>
        <v>0</v>
      </c>
      <c r="X49" s="24">
        <f t="shared" si="51"/>
        <v>0</v>
      </c>
      <c r="Y49" s="24">
        <f t="shared" si="51"/>
        <v>0</v>
      </c>
      <c r="Z49" s="24">
        <f>SUM(Z50,Z54,Z57)</f>
        <v>38100</v>
      </c>
      <c r="AA49" s="24"/>
      <c r="AB49" s="248"/>
      <c r="AC49" s="176">
        <f t="shared" si="2"/>
        <v>0</v>
      </c>
    </row>
    <row r="50" spans="1:39" s="151" customFormat="1" ht="39.75" customHeight="1">
      <c r="A50" s="149" t="s">
        <v>16</v>
      </c>
      <c r="B50" s="150" t="s">
        <v>56</v>
      </c>
      <c r="C50" s="149"/>
      <c r="D50" s="149"/>
      <c r="E50" s="149"/>
      <c r="F50" s="149"/>
      <c r="G50" s="149"/>
      <c r="H50" s="57">
        <f>SUM(H51)</f>
        <v>75147</v>
      </c>
      <c r="I50" s="57">
        <f t="shared" ref="I50:Z50" si="52">SUM(I51)</f>
        <v>36800</v>
      </c>
      <c r="J50" s="57">
        <f t="shared" si="52"/>
        <v>23400</v>
      </c>
      <c r="K50" s="57">
        <f t="shared" si="52"/>
        <v>23400</v>
      </c>
      <c r="L50" s="57">
        <f t="shared" si="52"/>
        <v>0</v>
      </c>
      <c r="M50" s="57">
        <f t="shared" si="52"/>
        <v>0</v>
      </c>
      <c r="N50" s="57">
        <f t="shared" si="52"/>
        <v>0</v>
      </c>
      <c r="O50" s="57">
        <f t="shared" si="52"/>
        <v>0</v>
      </c>
      <c r="P50" s="57">
        <f t="shared" si="52"/>
        <v>0</v>
      </c>
      <c r="Q50" s="57">
        <f t="shared" si="52"/>
        <v>0</v>
      </c>
      <c r="R50" s="57">
        <f t="shared" si="52"/>
        <v>0</v>
      </c>
      <c r="S50" s="57">
        <f t="shared" si="52"/>
        <v>0</v>
      </c>
      <c r="T50" s="57">
        <f t="shared" si="52"/>
        <v>0</v>
      </c>
      <c r="U50" s="57">
        <f t="shared" si="52"/>
        <v>0</v>
      </c>
      <c r="V50" s="57">
        <f t="shared" si="52"/>
        <v>0</v>
      </c>
      <c r="W50" s="57">
        <f t="shared" si="52"/>
        <v>0</v>
      </c>
      <c r="X50" s="57">
        <f t="shared" si="52"/>
        <v>0</v>
      </c>
      <c r="Y50" s="57">
        <f t="shared" si="52"/>
        <v>0</v>
      </c>
      <c r="Z50" s="57">
        <f t="shared" si="52"/>
        <v>23400</v>
      </c>
      <c r="AA50" s="57"/>
      <c r="AB50" s="249"/>
      <c r="AC50" s="176">
        <f t="shared" si="2"/>
        <v>0</v>
      </c>
    </row>
    <row r="51" spans="1:39" s="152" customFormat="1" ht="39.75" customHeight="1">
      <c r="A51" s="141"/>
      <c r="B51" s="153" t="s">
        <v>128</v>
      </c>
      <c r="C51" s="141"/>
      <c r="D51" s="141"/>
      <c r="E51" s="141"/>
      <c r="F51" s="141"/>
      <c r="G51" s="141"/>
      <c r="H51" s="24">
        <f t="shared" ref="H51:Y51" si="53">SUM(H52:H53)</f>
        <v>75147</v>
      </c>
      <c r="I51" s="24">
        <f t="shared" si="53"/>
        <v>36800</v>
      </c>
      <c r="J51" s="24">
        <f t="shared" si="53"/>
        <v>23400</v>
      </c>
      <c r="K51" s="24">
        <f t="shared" si="53"/>
        <v>23400</v>
      </c>
      <c r="L51" s="24">
        <f t="shared" si="53"/>
        <v>0</v>
      </c>
      <c r="M51" s="24">
        <f t="shared" si="53"/>
        <v>0</v>
      </c>
      <c r="N51" s="24">
        <f t="shared" si="53"/>
        <v>0</v>
      </c>
      <c r="O51" s="24">
        <f t="shared" si="53"/>
        <v>0</v>
      </c>
      <c r="P51" s="24">
        <f t="shared" si="53"/>
        <v>0</v>
      </c>
      <c r="Q51" s="24">
        <f t="shared" si="53"/>
        <v>0</v>
      </c>
      <c r="R51" s="24">
        <f t="shared" si="53"/>
        <v>0</v>
      </c>
      <c r="S51" s="24">
        <f t="shared" si="53"/>
        <v>0</v>
      </c>
      <c r="T51" s="24">
        <f t="shared" si="53"/>
        <v>0</v>
      </c>
      <c r="U51" s="24">
        <f t="shared" si="53"/>
        <v>0</v>
      </c>
      <c r="V51" s="24">
        <f t="shared" si="53"/>
        <v>0</v>
      </c>
      <c r="W51" s="24">
        <f t="shared" si="53"/>
        <v>0</v>
      </c>
      <c r="X51" s="24">
        <f t="shared" si="53"/>
        <v>0</v>
      </c>
      <c r="Y51" s="24">
        <f t="shared" si="53"/>
        <v>0</v>
      </c>
      <c r="Z51" s="24">
        <f>SUM(Z52:Z53)</f>
        <v>23400</v>
      </c>
      <c r="AA51" s="24"/>
      <c r="AB51" s="248"/>
      <c r="AC51" s="176">
        <f t="shared" si="2"/>
        <v>0</v>
      </c>
    </row>
    <row r="52" spans="1:39" s="152" customFormat="1" ht="61.5" customHeight="1">
      <c r="A52" s="141">
        <v>1</v>
      </c>
      <c r="B52" s="140" t="s">
        <v>129</v>
      </c>
      <c r="C52" s="67" t="s">
        <v>128</v>
      </c>
      <c r="D52" s="67" t="s">
        <v>19</v>
      </c>
      <c r="E52" s="67" t="s">
        <v>130</v>
      </c>
      <c r="F52" s="67" t="s">
        <v>39</v>
      </c>
      <c r="G52" s="162" t="s">
        <v>813</v>
      </c>
      <c r="H52" s="26">
        <v>46847</v>
      </c>
      <c r="I52" s="112">
        <v>26000</v>
      </c>
      <c r="J52" s="25">
        <f>SUM(K52,L52:T52)</f>
        <v>15600</v>
      </c>
      <c r="K52" s="25">
        <v>15600</v>
      </c>
      <c r="L52" s="25"/>
      <c r="M52" s="25"/>
      <c r="N52" s="25"/>
      <c r="O52" s="25"/>
      <c r="P52" s="25"/>
      <c r="Q52" s="25"/>
      <c r="R52" s="25"/>
      <c r="S52" s="25"/>
      <c r="T52" s="25"/>
      <c r="U52" s="25">
        <f>SUM(V52:Y52)</f>
        <v>0</v>
      </c>
      <c r="V52" s="25"/>
      <c r="W52" s="25"/>
      <c r="X52" s="22"/>
      <c r="Y52" s="22"/>
      <c r="Z52" s="22">
        <v>15600</v>
      </c>
      <c r="AA52" s="25"/>
      <c r="AB52" s="237"/>
      <c r="AC52" s="176">
        <f t="shared" si="2"/>
        <v>0</v>
      </c>
      <c r="AD52" s="154" t="e">
        <f>#REF!</f>
        <v>#REF!</v>
      </c>
      <c r="AE52" s="154" t="e">
        <f>AD52/2.5</f>
        <v>#REF!</v>
      </c>
      <c r="AF52" s="154">
        <f>Z52</f>
        <v>15600</v>
      </c>
      <c r="AG52" s="154"/>
      <c r="AH52" s="152" t="s">
        <v>290</v>
      </c>
      <c r="AI52" s="152" t="s">
        <v>291</v>
      </c>
      <c r="AJ52" s="33">
        <f>J52</f>
        <v>15600</v>
      </c>
      <c r="AK52" s="33" t="s">
        <v>378</v>
      </c>
      <c r="AL52" s="33"/>
      <c r="AM52" s="33"/>
    </row>
    <row r="53" spans="1:39" s="152" customFormat="1" ht="61.5" customHeight="1">
      <c r="A53" s="141">
        <f>A52+1</f>
        <v>2</v>
      </c>
      <c r="B53" s="140" t="s">
        <v>131</v>
      </c>
      <c r="C53" s="67" t="s">
        <v>128</v>
      </c>
      <c r="D53" s="67" t="s">
        <v>19</v>
      </c>
      <c r="E53" s="67" t="s">
        <v>132</v>
      </c>
      <c r="F53" s="67" t="s">
        <v>39</v>
      </c>
      <c r="G53" s="162" t="s">
        <v>742</v>
      </c>
      <c r="H53" s="26">
        <v>28300</v>
      </c>
      <c r="I53" s="112">
        <v>10800</v>
      </c>
      <c r="J53" s="25">
        <f>SUM(K53,L53:T53)</f>
        <v>7800</v>
      </c>
      <c r="K53" s="25">
        <v>7800</v>
      </c>
      <c r="L53" s="25"/>
      <c r="M53" s="25"/>
      <c r="N53" s="25"/>
      <c r="O53" s="25"/>
      <c r="P53" s="25"/>
      <c r="Q53" s="25"/>
      <c r="R53" s="25"/>
      <c r="S53" s="25"/>
      <c r="T53" s="25"/>
      <c r="U53" s="25">
        <f>SUM(V53:Y53)</f>
        <v>0</v>
      </c>
      <c r="V53" s="25"/>
      <c r="W53" s="25"/>
      <c r="X53" s="22"/>
      <c r="Y53" s="22"/>
      <c r="Z53" s="22">
        <v>7800</v>
      </c>
      <c r="AA53" s="25"/>
      <c r="AB53" s="237"/>
      <c r="AC53" s="176">
        <f t="shared" si="2"/>
        <v>0</v>
      </c>
      <c r="AD53" s="154" t="e">
        <f>#REF!</f>
        <v>#REF!</v>
      </c>
      <c r="AE53" s="154" t="e">
        <f>AD53/2.5</f>
        <v>#REF!</v>
      </c>
      <c r="AF53" s="154">
        <f>Z53</f>
        <v>7800</v>
      </c>
      <c r="AG53" s="154"/>
      <c r="AH53" s="152" t="s">
        <v>290</v>
      </c>
      <c r="AI53" s="152" t="s">
        <v>291</v>
      </c>
      <c r="AJ53" s="33">
        <f>J53</f>
        <v>7800</v>
      </c>
      <c r="AK53" s="33" t="s">
        <v>378</v>
      </c>
      <c r="AL53" s="33"/>
      <c r="AM53" s="33"/>
    </row>
    <row r="54" spans="1:39" s="151" customFormat="1" ht="39.75" customHeight="1">
      <c r="A54" s="149" t="s">
        <v>24</v>
      </c>
      <c r="B54" s="150" t="s">
        <v>134</v>
      </c>
      <c r="C54" s="149"/>
      <c r="D54" s="149"/>
      <c r="E54" s="149"/>
      <c r="F54" s="149"/>
      <c r="G54" s="149"/>
      <c r="H54" s="57">
        <f>SUM(H55)</f>
        <v>14842</v>
      </c>
      <c r="I54" s="57">
        <f t="shared" ref="I54:Y54" si="54">SUM(I55)</f>
        <v>6600</v>
      </c>
      <c r="J54" s="57">
        <f t="shared" si="54"/>
        <v>6600</v>
      </c>
      <c r="K54" s="57">
        <f t="shared" si="54"/>
        <v>6600</v>
      </c>
      <c r="L54" s="57">
        <f t="shared" si="54"/>
        <v>0</v>
      </c>
      <c r="M54" s="57">
        <f t="shared" si="54"/>
        <v>0</v>
      </c>
      <c r="N54" s="57">
        <f t="shared" si="54"/>
        <v>0</v>
      </c>
      <c r="O54" s="57">
        <f t="shared" si="54"/>
        <v>0</v>
      </c>
      <c r="P54" s="57">
        <f t="shared" si="54"/>
        <v>0</v>
      </c>
      <c r="Q54" s="57">
        <f t="shared" si="54"/>
        <v>0</v>
      </c>
      <c r="R54" s="57">
        <f t="shared" si="54"/>
        <v>0</v>
      </c>
      <c r="S54" s="57">
        <f t="shared" si="54"/>
        <v>0</v>
      </c>
      <c r="T54" s="57">
        <f t="shared" si="54"/>
        <v>0</v>
      </c>
      <c r="U54" s="57">
        <f t="shared" si="54"/>
        <v>0</v>
      </c>
      <c r="V54" s="57">
        <f t="shared" si="54"/>
        <v>0</v>
      </c>
      <c r="W54" s="57">
        <f t="shared" si="54"/>
        <v>0</v>
      </c>
      <c r="X54" s="57">
        <f t="shared" si="54"/>
        <v>0</v>
      </c>
      <c r="Y54" s="57">
        <f t="shared" si="54"/>
        <v>0</v>
      </c>
      <c r="Z54" s="57">
        <f>SUM(Z55)</f>
        <v>6600</v>
      </c>
      <c r="AA54" s="57"/>
      <c r="AB54" s="249"/>
      <c r="AC54" s="176">
        <f t="shared" si="2"/>
        <v>0</v>
      </c>
    </row>
    <row r="55" spans="1:39" s="152" customFormat="1" ht="39.75" customHeight="1">
      <c r="A55" s="141"/>
      <c r="B55" s="153" t="s">
        <v>133</v>
      </c>
      <c r="C55" s="141"/>
      <c r="D55" s="141"/>
      <c r="E55" s="141"/>
      <c r="F55" s="141"/>
      <c r="G55" s="141"/>
      <c r="H55" s="24">
        <f t="shared" ref="H55:Y55" si="55">SUM(H56:H56)</f>
        <v>14842</v>
      </c>
      <c r="I55" s="24">
        <f t="shared" si="55"/>
        <v>6600</v>
      </c>
      <c r="J55" s="24">
        <f t="shared" si="55"/>
        <v>6600</v>
      </c>
      <c r="K55" s="24">
        <f t="shared" si="55"/>
        <v>6600</v>
      </c>
      <c r="L55" s="24">
        <f t="shared" si="55"/>
        <v>0</v>
      </c>
      <c r="M55" s="24">
        <f t="shared" si="55"/>
        <v>0</v>
      </c>
      <c r="N55" s="24">
        <f t="shared" si="55"/>
        <v>0</v>
      </c>
      <c r="O55" s="24">
        <f t="shared" si="55"/>
        <v>0</v>
      </c>
      <c r="P55" s="24">
        <f t="shared" si="55"/>
        <v>0</v>
      </c>
      <c r="Q55" s="24">
        <f t="shared" si="55"/>
        <v>0</v>
      </c>
      <c r="R55" s="24">
        <f t="shared" si="55"/>
        <v>0</v>
      </c>
      <c r="S55" s="24">
        <f t="shared" si="55"/>
        <v>0</v>
      </c>
      <c r="T55" s="24">
        <f t="shared" si="55"/>
        <v>0</v>
      </c>
      <c r="U55" s="24">
        <f t="shared" si="55"/>
        <v>0</v>
      </c>
      <c r="V55" s="24">
        <f t="shared" si="55"/>
        <v>0</v>
      </c>
      <c r="W55" s="24">
        <f t="shared" si="55"/>
        <v>0</v>
      </c>
      <c r="X55" s="24">
        <f t="shared" si="55"/>
        <v>0</v>
      </c>
      <c r="Y55" s="24">
        <f t="shared" si="55"/>
        <v>0</v>
      </c>
      <c r="Z55" s="24">
        <f>SUM(Z56:Z56)</f>
        <v>6600</v>
      </c>
      <c r="AA55" s="24"/>
      <c r="AB55" s="248"/>
      <c r="AC55" s="176">
        <f t="shared" si="2"/>
        <v>0</v>
      </c>
    </row>
    <row r="56" spans="1:39" s="152" customFormat="1" ht="57.75" customHeight="1">
      <c r="A56" s="141">
        <v>1</v>
      </c>
      <c r="B56" s="140" t="s">
        <v>354</v>
      </c>
      <c r="C56" s="67" t="s">
        <v>133</v>
      </c>
      <c r="D56" s="67" t="s">
        <v>19</v>
      </c>
      <c r="E56" s="67" t="s">
        <v>138</v>
      </c>
      <c r="F56" s="67" t="s">
        <v>39</v>
      </c>
      <c r="G56" s="162" t="s">
        <v>768</v>
      </c>
      <c r="H56" s="26">
        <v>14842</v>
      </c>
      <c r="I56" s="112">
        <v>6600</v>
      </c>
      <c r="J56" s="25">
        <f>SUM(K56,L56:T56)</f>
        <v>6600</v>
      </c>
      <c r="K56" s="25">
        <v>6600</v>
      </c>
      <c r="L56" s="25"/>
      <c r="M56" s="25"/>
      <c r="N56" s="25"/>
      <c r="O56" s="25"/>
      <c r="P56" s="25"/>
      <c r="Q56" s="25"/>
      <c r="R56" s="25"/>
      <c r="S56" s="25"/>
      <c r="T56" s="25"/>
      <c r="U56" s="25">
        <f>SUM(V56:Y56)</f>
        <v>0</v>
      </c>
      <c r="V56" s="24"/>
      <c r="W56" s="25"/>
      <c r="X56" s="22"/>
      <c r="Y56" s="22"/>
      <c r="Z56" s="22">
        <v>6600</v>
      </c>
      <c r="AA56" s="24"/>
      <c r="AB56" s="248"/>
      <c r="AC56" s="176">
        <f t="shared" si="2"/>
        <v>0</v>
      </c>
      <c r="AD56" s="154" t="e">
        <f>#REF!</f>
        <v>#REF!</v>
      </c>
      <c r="AE56" s="154" t="e">
        <f>AD56/2.5</f>
        <v>#REF!</v>
      </c>
      <c r="AF56" s="154">
        <f>Z56</f>
        <v>6600</v>
      </c>
      <c r="AG56" s="154"/>
      <c r="AH56" s="152" t="s">
        <v>290</v>
      </c>
      <c r="AI56" s="152" t="s">
        <v>276</v>
      </c>
      <c r="AJ56" s="33">
        <f>J56</f>
        <v>6600</v>
      </c>
      <c r="AK56" s="33"/>
      <c r="AL56" s="33"/>
      <c r="AM56" s="33"/>
    </row>
    <row r="57" spans="1:39" s="151" customFormat="1" ht="39.75" customHeight="1">
      <c r="A57" s="149" t="s">
        <v>29</v>
      </c>
      <c r="B57" s="150" t="s">
        <v>57</v>
      </c>
      <c r="C57" s="149"/>
      <c r="D57" s="149"/>
      <c r="E57" s="149"/>
      <c r="F57" s="149"/>
      <c r="G57" s="149"/>
      <c r="H57" s="57">
        <f>SUM(H58,H61)</f>
        <v>29158</v>
      </c>
      <c r="I57" s="57">
        <f t="shared" ref="I57:Y57" si="56">SUM(I58,I61)</f>
        <v>8100</v>
      </c>
      <c r="J57" s="57">
        <f t="shared" si="56"/>
        <v>8100</v>
      </c>
      <c r="K57" s="57">
        <f t="shared" si="56"/>
        <v>8100</v>
      </c>
      <c r="L57" s="57">
        <f t="shared" si="56"/>
        <v>0</v>
      </c>
      <c r="M57" s="57">
        <f t="shared" si="56"/>
        <v>0</v>
      </c>
      <c r="N57" s="57">
        <f t="shared" si="56"/>
        <v>0</v>
      </c>
      <c r="O57" s="57">
        <f t="shared" si="56"/>
        <v>0</v>
      </c>
      <c r="P57" s="57">
        <f t="shared" si="56"/>
        <v>0</v>
      </c>
      <c r="Q57" s="57">
        <f t="shared" si="56"/>
        <v>0</v>
      </c>
      <c r="R57" s="57">
        <f t="shared" si="56"/>
        <v>0</v>
      </c>
      <c r="S57" s="57">
        <f t="shared" si="56"/>
        <v>0</v>
      </c>
      <c r="T57" s="57">
        <f t="shared" si="56"/>
        <v>0</v>
      </c>
      <c r="U57" s="57">
        <f t="shared" si="56"/>
        <v>0</v>
      </c>
      <c r="V57" s="57">
        <f t="shared" si="56"/>
        <v>0</v>
      </c>
      <c r="W57" s="57">
        <f t="shared" si="56"/>
        <v>0</v>
      </c>
      <c r="X57" s="57">
        <f t="shared" si="56"/>
        <v>0</v>
      </c>
      <c r="Y57" s="57">
        <f t="shared" si="56"/>
        <v>0</v>
      </c>
      <c r="Z57" s="57">
        <f>SUM(Z58,Z61)</f>
        <v>8100</v>
      </c>
      <c r="AA57" s="57"/>
      <c r="AB57" s="249"/>
      <c r="AC57" s="176">
        <f t="shared" si="2"/>
        <v>0</v>
      </c>
    </row>
    <row r="58" spans="1:39" s="152" customFormat="1" ht="39.75" customHeight="1">
      <c r="A58" s="141"/>
      <c r="B58" s="153" t="s">
        <v>128</v>
      </c>
      <c r="C58" s="141"/>
      <c r="D58" s="141"/>
      <c r="E58" s="141"/>
      <c r="F58" s="141"/>
      <c r="G58" s="141"/>
      <c r="H58" s="24">
        <f t="shared" ref="H58:Y58" si="57">SUM(H59:H60)</f>
        <v>9832</v>
      </c>
      <c r="I58" s="24">
        <f t="shared" si="57"/>
        <v>3500</v>
      </c>
      <c r="J58" s="24">
        <f t="shared" si="57"/>
        <v>3500</v>
      </c>
      <c r="K58" s="24">
        <f t="shared" si="57"/>
        <v>3500</v>
      </c>
      <c r="L58" s="24">
        <f t="shared" si="57"/>
        <v>0</v>
      </c>
      <c r="M58" s="24">
        <f t="shared" si="57"/>
        <v>0</v>
      </c>
      <c r="N58" s="24">
        <f t="shared" si="57"/>
        <v>0</v>
      </c>
      <c r="O58" s="24">
        <f t="shared" si="57"/>
        <v>0</v>
      </c>
      <c r="P58" s="24">
        <f t="shared" si="57"/>
        <v>0</v>
      </c>
      <c r="Q58" s="24">
        <f t="shared" si="57"/>
        <v>0</v>
      </c>
      <c r="R58" s="24">
        <f t="shared" si="57"/>
        <v>0</v>
      </c>
      <c r="S58" s="24">
        <f t="shared" si="57"/>
        <v>0</v>
      </c>
      <c r="T58" s="24">
        <f t="shared" si="57"/>
        <v>0</v>
      </c>
      <c r="U58" s="24">
        <f t="shared" si="57"/>
        <v>0</v>
      </c>
      <c r="V58" s="24">
        <f t="shared" si="57"/>
        <v>0</v>
      </c>
      <c r="W58" s="24">
        <f t="shared" si="57"/>
        <v>0</v>
      </c>
      <c r="X58" s="24">
        <f t="shared" si="57"/>
        <v>0</v>
      </c>
      <c r="Y58" s="24">
        <f t="shared" si="57"/>
        <v>0</v>
      </c>
      <c r="Z58" s="24">
        <f>SUM(Z59:Z60)</f>
        <v>3500</v>
      </c>
      <c r="AA58" s="24"/>
      <c r="AB58" s="248"/>
      <c r="AC58" s="176">
        <f t="shared" si="2"/>
        <v>0</v>
      </c>
    </row>
    <row r="59" spans="1:39" s="152" customFormat="1" ht="63.75" customHeight="1">
      <c r="A59" s="141">
        <v>1</v>
      </c>
      <c r="B59" s="140" t="s">
        <v>141</v>
      </c>
      <c r="C59" s="67" t="s">
        <v>128</v>
      </c>
      <c r="D59" s="67" t="s">
        <v>19</v>
      </c>
      <c r="E59" s="67" t="s">
        <v>140</v>
      </c>
      <c r="F59" s="67" t="s">
        <v>39</v>
      </c>
      <c r="G59" s="162" t="s">
        <v>770</v>
      </c>
      <c r="H59" s="26">
        <v>5114</v>
      </c>
      <c r="I59" s="112">
        <v>1800</v>
      </c>
      <c r="J59" s="25">
        <f>SUM(K59,L59:T59)</f>
        <v>1800</v>
      </c>
      <c r="K59" s="25">
        <v>1800</v>
      </c>
      <c r="L59" s="25"/>
      <c r="M59" s="25"/>
      <c r="N59" s="25"/>
      <c r="O59" s="25"/>
      <c r="P59" s="25"/>
      <c r="Q59" s="25"/>
      <c r="R59" s="25"/>
      <c r="S59" s="25"/>
      <c r="T59" s="25"/>
      <c r="U59" s="25">
        <f>SUM(V59:Y59)</f>
        <v>0</v>
      </c>
      <c r="V59" s="24"/>
      <c r="W59" s="25"/>
      <c r="X59" s="22"/>
      <c r="Y59" s="22"/>
      <c r="Z59" s="22">
        <v>1800</v>
      </c>
      <c r="AA59" s="24"/>
      <c r="AB59" s="248"/>
      <c r="AC59" s="176">
        <f t="shared" si="2"/>
        <v>0</v>
      </c>
      <c r="AD59" s="154" t="e">
        <f>#REF!</f>
        <v>#REF!</v>
      </c>
      <c r="AE59" s="154" t="e">
        <f>AD59/2.5</f>
        <v>#REF!</v>
      </c>
      <c r="AF59" s="154">
        <f>Z59</f>
        <v>1800</v>
      </c>
      <c r="AG59" s="154"/>
      <c r="AH59" s="152" t="s">
        <v>290</v>
      </c>
      <c r="AI59" s="152" t="s">
        <v>278</v>
      </c>
      <c r="AJ59" s="33">
        <f>J59</f>
        <v>1800</v>
      </c>
      <c r="AK59" s="33"/>
      <c r="AL59" s="33"/>
      <c r="AM59" s="33"/>
    </row>
    <row r="60" spans="1:39" s="152" customFormat="1" ht="63.75" customHeight="1">
      <c r="A60" s="141">
        <f>+A59+1</f>
        <v>2</v>
      </c>
      <c r="B60" s="140" t="s">
        <v>142</v>
      </c>
      <c r="C60" s="67" t="s">
        <v>128</v>
      </c>
      <c r="D60" s="67" t="s">
        <v>19</v>
      </c>
      <c r="E60" s="67" t="s">
        <v>139</v>
      </c>
      <c r="F60" s="67" t="s">
        <v>39</v>
      </c>
      <c r="G60" s="162" t="s">
        <v>976</v>
      </c>
      <c r="H60" s="26">
        <v>4718</v>
      </c>
      <c r="I60" s="112">
        <v>1700</v>
      </c>
      <c r="J60" s="25">
        <f>SUM(K60,L60:T60)</f>
        <v>1700</v>
      </c>
      <c r="K60" s="25">
        <v>1700</v>
      </c>
      <c r="L60" s="25"/>
      <c r="M60" s="25"/>
      <c r="N60" s="25"/>
      <c r="O60" s="25"/>
      <c r="P60" s="25"/>
      <c r="Q60" s="25"/>
      <c r="R60" s="25"/>
      <c r="S60" s="25"/>
      <c r="T60" s="25"/>
      <c r="U60" s="25">
        <f>SUM(V60:Y60)</f>
        <v>0</v>
      </c>
      <c r="V60" s="24"/>
      <c r="W60" s="25"/>
      <c r="X60" s="22"/>
      <c r="Y60" s="22"/>
      <c r="Z60" s="22">
        <v>1700</v>
      </c>
      <c r="AA60" s="24"/>
      <c r="AB60" s="248"/>
      <c r="AC60" s="176">
        <f t="shared" si="2"/>
        <v>0</v>
      </c>
      <c r="AD60" s="154" t="e">
        <f>#REF!</f>
        <v>#REF!</v>
      </c>
      <c r="AE60" s="154">
        <v>1000</v>
      </c>
      <c r="AF60" s="154">
        <f>Z60</f>
        <v>1700</v>
      </c>
      <c r="AG60" s="154"/>
      <c r="AH60" s="152" t="s">
        <v>290</v>
      </c>
      <c r="AI60" s="152" t="s">
        <v>278</v>
      </c>
      <c r="AJ60" s="33">
        <f>J60</f>
        <v>1700</v>
      </c>
      <c r="AK60" s="33"/>
      <c r="AL60" s="33"/>
      <c r="AM60" s="33"/>
    </row>
    <row r="61" spans="1:39" s="152" customFormat="1" ht="39.75" customHeight="1">
      <c r="A61" s="141"/>
      <c r="B61" s="153" t="s">
        <v>133</v>
      </c>
      <c r="C61" s="141"/>
      <c r="D61" s="141"/>
      <c r="E61" s="141"/>
      <c r="F61" s="141"/>
      <c r="G61" s="141"/>
      <c r="H61" s="24">
        <f t="shared" ref="H61:Y61" si="58">SUM(H62:H63)</f>
        <v>19326</v>
      </c>
      <c r="I61" s="24">
        <f t="shared" si="58"/>
        <v>4600</v>
      </c>
      <c r="J61" s="24">
        <f t="shared" si="58"/>
        <v>4600</v>
      </c>
      <c r="K61" s="24">
        <f t="shared" si="58"/>
        <v>4600</v>
      </c>
      <c r="L61" s="24">
        <f t="shared" si="58"/>
        <v>0</v>
      </c>
      <c r="M61" s="24">
        <f t="shared" si="58"/>
        <v>0</v>
      </c>
      <c r="N61" s="24">
        <f t="shared" si="58"/>
        <v>0</v>
      </c>
      <c r="O61" s="24">
        <f t="shared" si="58"/>
        <v>0</v>
      </c>
      <c r="P61" s="24">
        <f t="shared" si="58"/>
        <v>0</v>
      </c>
      <c r="Q61" s="24">
        <f t="shared" si="58"/>
        <v>0</v>
      </c>
      <c r="R61" s="24">
        <f t="shared" si="58"/>
        <v>0</v>
      </c>
      <c r="S61" s="24">
        <f t="shared" si="58"/>
        <v>0</v>
      </c>
      <c r="T61" s="24">
        <f t="shared" si="58"/>
        <v>0</v>
      </c>
      <c r="U61" s="24">
        <f t="shared" si="58"/>
        <v>0</v>
      </c>
      <c r="V61" s="24">
        <f t="shared" si="58"/>
        <v>0</v>
      </c>
      <c r="W61" s="24">
        <f t="shared" si="58"/>
        <v>0</v>
      </c>
      <c r="X61" s="24">
        <f t="shared" si="58"/>
        <v>0</v>
      </c>
      <c r="Y61" s="24">
        <f t="shared" si="58"/>
        <v>0</v>
      </c>
      <c r="Z61" s="24">
        <f>SUM(Z62:Z63)</f>
        <v>4600</v>
      </c>
      <c r="AA61" s="24"/>
      <c r="AB61" s="248"/>
      <c r="AC61" s="176">
        <f t="shared" si="2"/>
        <v>0</v>
      </c>
    </row>
    <row r="62" spans="1:39" s="152" customFormat="1" ht="61.5" customHeight="1">
      <c r="A62" s="141">
        <f>+A60+1</f>
        <v>3</v>
      </c>
      <c r="B62" s="140" t="s">
        <v>143</v>
      </c>
      <c r="C62" s="67" t="s">
        <v>133</v>
      </c>
      <c r="D62" s="67" t="s">
        <v>19</v>
      </c>
      <c r="E62" s="67" t="s">
        <v>186</v>
      </c>
      <c r="F62" s="67" t="s">
        <v>39</v>
      </c>
      <c r="G62" s="162" t="s">
        <v>769</v>
      </c>
      <c r="H62" s="26">
        <v>14874</v>
      </c>
      <c r="I62" s="112">
        <v>3000</v>
      </c>
      <c r="J62" s="25">
        <f>SUM(K62,L62:T62)</f>
        <v>3000</v>
      </c>
      <c r="K62" s="25">
        <v>3000</v>
      </c>
      <c r="L62" s="25"/>
      <c r="M62" s="25"/>
      <c r="N62" s="25"/>
      <c r="O62" s="25"/>
      <c r="P62" s="25"/>
      <c r="Q62" s="25"/>
      <c r="R62" s="25"/>
      <c r="S62" s="25"/>
      <c r="T62" s="25"/>
      <c r="U62" s="25">
        <f>SUM(V62:Y62)</f>
        <v>0</v>
      </c>
      <c r="V62" s="24"/>
      <c r="W62" s="25"/>
      <c r="X62" s="22"/>
      <c r="Y62" s="22"/>
      <c r="Z62" s="22">
        <v>3000</v>
      </c>
      <c r="AA62" s="24"/>
      <c r="AB62" s="248"/>
      <c r="AC62" s="176">
        <f t="shared" si="2"/>
        <v>0</v>
      </c>
      <c r="AD62" s="154" t="e">
        <f>#REF!</f>
        <v>#REF!</v>
      </c>
      <c r="AE62" s="154" t="e">
        <f>AD62/2.5</f>
        <v>#REF!</v>
      </c>
      <c r="AF62" s="154">
        <f>Z62</f>
        <v>3000</v>
      </c>
      <c r="AG62" s="154"/>
      <c r="AH62" s="152" t="s">
        <v>290</v>
      </c>
      <c r="AI62" s="152" t="s">
        <v>278</v>
      </c>
      <c r="AJ62" s="33">
        <f>J62</f>
        <v>3000</v>
      </c>
      <c r="AK62" s="33"/>
      <c r="AL62" s="33"/>
      <c r="AM62" s="33"/>
    </row>
    <row r="63" spans="1:39" s="152" customFormat="1" ht="61.5" customHeight="1">
      <c r="A63" s="141">
        <f>+A62+1</f>
        <v>4</v>
      </c>
      <c r="B63" s="140" t="s">
        <v>144</v>
      </c>
      <c r="C63" s="67" t="s">
        <v>133</v>
      </c>
      <c r="D63" s="67" t="s">
        <v>19</v>
      </c>
      <c r="E63" s="67" t="s">
        <v>139</v>
      </c>
      <c r="F63" s="67" t="s">
        <v>39</v>
      </c>
      <c r="G63" s="162" t="s">
        <v>977</v>
      </c>
      <c r="H63" s="26">
        <v>4452</v>
      </c>
      <c r="I63" s="112">
        <v>1600</v>
      </c>
      <c r="J63" s="25">
        <f>SUM(K63,L63:T63)</f>
        <v>1600</v>
      </c>
      <c r="K63" s="25">
        <v>1600</v>
      </c>
      <c r="L63" s="25"/>
      <c r="M63" s="25"/>
      <c r="N63" s="25"/>
      <c r="O63" s="25"/>
      <c r="P63" s="25"/>
      <c r="Q63" s="25"/>
      <c r="R63" s="25"/>
      <c r="S63" s="25"/>
      <c r="T63" s="25"/>
      <c r="U63" s="25">
        <f>SUM(V63:Y63)</f>
        <v>0</v>
      </c>
      <c r="V63" s="24"/>
      <c r="W63" s="25"/>
      <c r="X63" s="22"/>
      <c r="Y63" s="22"/>
      <c r="Z63" s="22">
        <v>1600</v>
      </c>
      <c r="AA63" s="24"/>
      <c r="AB63" s="248"/>
      <c r="AC63" s="176">
        <f t="shared" si="2"/>
        <v>0</v>
      </c>
      <c r="AD63" s="154" t="e">
        <f>#REF!</f>
        <v>#REF!</v>
      </c>
      <c r="AE63" s="154">
        <v>1000</v>
      </c>
      <c r="AF63" s="154">
        <f>Z63</f>
        <v>1600</v>
      </c>
      <c r="AG63" s="154"/>
      <c r="AH63" s="152" t="s">
        <v>290</v>
      </c>
      <c r="AI63" s="152" t="s">
        <v>278</v>
      </c>
      <c r="AJ63" s="33">
        <f>J63</f>
        <v>1600</v>
      </c>
      <c r="AK63" s="33"/>
      <c r="AL63" s="33"/>
      <c r="AM63" s="33"/>
    </row>
    <row r="64" spans="1:39" s="152" customFormat="1" ht="48.75" customHeight="1">
      <c r="A64" s="143" t="s">
        <v>296</v>
      </c>
      <c r="B64" s="153" t="s">
        <v>153</v>
      </c>
      <c r="C64" s="141"/>
      <c r="D64" s="141"/>
      <c r="E64" s="141"/>
      <c r="F64" s="141"/>
      <c r="G64" s="141"/>
      <c r="H64" s="24">
        <f t="shared" ref="H64:Z64" si="59">SUM(H65,H69,H76)</f>
        <v>76050</v>
      </c>
      <c r="I64" s="24">
        <f t="shared" si="59"/>
        <v>32800</v>
      </c>
      <c r="J64" s="24">
        <f t="shared" si="59"/>
        <v>28415</v>
      </c>
      <c r="K64" s="24">
        <f t="shared" si="59"/>
        <v>13300</v>
      </c>
      <c r="L64" s="24">
        <f t="shared" si="59"/>
        <v>0</v>
      </c>
      <c r="M64" s="24">
        <f t="shared" si="59"/>
        <v>0</v>
      </c>
      <c r="N64" s="24">
        <f t="shared" si="59"/>
        <v>0</v>
      </c>
      <c r="O64" s="24">
        <f t="shared" si="59"/>
        <v>0</v>
      </c>
      <c r="P64" s="24">
        <f t="shared" si="59"/>
        <v>19500</v>
      </c>
      <c r="Q64" s="24">
        <f t="shared" si="59"/>
        <v>0</v>
      </c>
      <c r="R64" s="24">
        <f t="shared" si="59"/>
        <v>0</v>
      </c>
      <c r="S64" s="24">
        <f t="shared" si="59"/>
        <v>0</v>
      </c>
      <c r="T64" s="24">
        <f t="shared" si="59"/>
        <v>0</v>
      </c>
      <c r="U64" s="24">
        <f t="shared" si="59"/>
        <v>0</v>
      </c>
      <c r="V64" s="24">
        <f t="shared" si="59"/>
        <v>0</v>
      </c>
      <c r="W64" s="24">
        <f t="shared" si="59"/>
        <v>0</v>
      </c>
      <c r="X64" s="24">
        <f t="shared" si="59"/>
        <v>0</v>
      </c>
      <c r="Y64" s="24">
        <f t="shared" si="59"/>
        <v>0</v>
      </c>
      <c r="Z64" s="24">
        <f t="shared" si="59"/>
        <v>28415</v>
      </c>
      <c r="AA64" s="24"/>
      <c r="AB64" s="248"/>
      <c r="AC64" s="176">
        <f t="shared" si="2"/>
        <v>0</v>
      </c>
    </row>
    <row r="65" spans="1:39" s="151" customFormat="1" ht="39.75" customHeight="1">
      <c r="A65" s="149" t="s">
        <v>16</v>
      </c>
      <c r="B65" s="150" t="s">
        <v>56</v>
      </c>
      <c r="C65" s="149"/>
      <c r="D65" s="149"/>
      <c r="E65" s="149"/>
      <c r="F65" s="149"/>
      <c r="G65" s="149"/>
      <c r="H65" s="57">
        <f>SUM(H66)</f>
        <v>17331</v>
      </c>
      <c r="I65" s="57">
        <f t="shared" ref="I65:Y65" si="60">SUM(I66)</f>
        <v>8600</v>
      </c>
      <c r="J65" s="57">
        <f t="shared" si="60"/>
        <v>5100</v>
      </c>
      <c r="K65" s="57">
        <f t="shared" si="60"/>
        <v>5100</v>
      </c>
      <c r="L65" s="57">
        <f t="shared" si="60"/>
        <v>0</v>
      </c>
      <c r="M65" s="57">
        <f t="shared" si="60"/>
        <v>0</v>
      </c>
      <c r="N65" s="57">
        <f t="shared" si="60"/>
        <v>0</v>
      </c>
      <c r="O65" s="57">
        <f t="shared" si="60"/>
        <v>0</v>
      </c>
      <c r="P65" s="57">
        <f t="shared" si="60"/>
        <v>0</v>
      </c>
      <c r="Q65" s="57">
        <f t="shared" si="60"/>
        <v>0</v>
      </c>
      <c r="R65" s="57">
        <f t="shared" si="60"/>
        <v>0</v>
      </c>
      <c r="S65" s="57">
        <f t="shared" si="60"/>
        <v>0</v>
      </c>
      <c r="T65" s="57">
        <f t="shared" si="60"/>
        <v>0</v>
      </c>
      <c r="U65" s="57">
        <f t="shared" si="60"/>
        <v>0</v>
      </c>
      <c r="V65" s="57">
        <f t="shared" si="60"/>
        <v>0</v>
      </c>
      <c r="W65" s="57">
        <f t="shared" si="60"/>
        <v>0</v>
      </c>
      <c r="X65" s="57">
        <f t="shared" si="60"/>
        <v>0</v>
      </c>
      <c r="Y65" s="57">
        <f t="shared" si="60"/>
        <v>0</v>
      </c>
      <c r="Z65" s="57">
        <f>SUM(Z66)</f>
        <v>5100</v>
      </c>
      <c r="AA65" s="57"/>
      <c r="AB65" s="249"/>
      <c r="AC65" s="176">
        <f t="shared" si="2"/>
        <v>0</v>
      </c>
    </row>
    <row r="66" spans="1:39" s="152" customFormat="1" ht="39.75" customHeight="1">
      <c r="A66" s="141"/>
      <c r="B66" s="153" t="s">
        <v>156</v>
      </c>
      <c r="C66" s="141"/>
      <c r="D66" s="141"/>
      <c r="E66" s="141"/>
      <c r="F66" s="141"/>
      <c r="G66" s="141"/>
      <c r="H66" s="24">
        <f t="shared" ref="H66:Y66" si="61">SUM(H67:H68)</f>
        <v>17331</v>
      </c>
      <c r="I66" s="24">
        <f t="shared" si="61"/>
        <v>8600</v>
      </c>
      <c r="J66" s="24">
        <f t="shared" si="61"/>
        <v>5100</v>
      </c>
      <c r="K66" s="24">
        <f t="shared" si="61"/>
        <v>5100</v>
      </c>
      <c r="L66" s="24">
        <f t="shared" si="61"/>
        <v>0</v>
      </c>
      <c r="M66" s="24">
        <f t="shared" si="61"/>
        <v>0</v>
      </c>
      <c r="N66" s="24">
        <f t="shared" si="61"/>
        <v>0</v>
      </c>
      <c r="O66" s="24">
        <f t="shared" si="61"/>
        <v>0</v>
      </c>
      <c r="P66" s="24">
        <f t="shared" si="61"/>
        <v>0</v>
      </c>
      <c r="Q66" s="24">
        <f t="shared" si="61"/>
        <v>0</v>
      </c>
      <c r="R66" s="24">
        <f t="shared" si="61"/>
        <v>0</v>
      </c>
      <c r="S66" s="24">
        <f t="shared" si="61"/>
        <v>0</v>
      </c>
      <c r="T66" s="24">
        <f t="shared" si="61"/>
        <v>0</v>
      </c>
      <c r="U66" s="24">
        <f t="shared" si="61"/>
        <v>0</v>
      </c>
      <c r="V66" s="24">
        <f t="shared" si="61"/>
        <v>0</v>
      </c>
      <c r="W66" s="24">
        <f t="shared" si="61"/>
        <v>0</v>
      </c>
      <c r="X66" s="24">
        <f t="shared" si="61"/>
        <v>0</v>
      </c>
      <c r="Y66" s="24">
        <f t="shared" si="61"/>
        <v>0</v>
      </c>
      <c r="Z66" s="24">
        <f>SUM(Z67:Z68)</f>
        <v>5100</v>
      </c>
      <c r="AA66" s="24"/>
      <c r="AB66" s="248"/>
      <c r="AC66" s="176">
        <f t="shared" si="2"/>
        <v>0</v>
      </c>
    </row>
    <row r="67" spans="1:39" s="152" customFormat="1" ht="57.75" customHeight="1">
      <c r="A67" s="141">
        <v>1</v>
      </c>
      <c r="B67" s="140" t="s">
        <v>157</v>
      </c>
      <c r="C67" s="67" t="s">
        <v>156</v>
      </c>
      <c r="D67" s="67" t="s">
        <v>19</v>
      </c>
      <c r="E67" s="67" t="s">
        <v>158</v>
      </c>
      <c r="F67" s="67" t="s">
        <v>39</v>
      </c>
      <c r="G67" s="162" t="s">
        <v>743</v>
      </c>
      <c r="H67" s="26">
        <v>3319</v>
      </c>
      <c r="I67" s="112">
        <v>1900</v>
      </c>
      <c r="J67" s="25">
        <f>SUM(K67,L67:T67)</f>
        <v>1100</v>
      </c>
      <c r="K67" s="25">
        <v>1100</v>
      </c>
      <c r="L67" s="25"/>
      <c r="M67" s="25"/>
      <c r="N67" s="25"/>
      <c r="O67" s="25"/>
      <c r="P67" s="25"/>
      <c r="Q67" s="25"/>
      <c r="R67" s="25"/>
      <c r="S67" s="25"/>
      <c r="T67" s="25"/>
      <c r="U67" s="25">
        <f>SUM(V67:Y67)</f>
        <v>0</v>
      </c>
      <c r="V67" s="24"/>
      <c r="W67" s="25"/>
      <c r="X67" s="22"/>
      <c r="Y67" s="22"/>
      <c r="Z67" s="22">
        <v>1100</v>
      </c>
      <c r="AA67" s="24"/>
      <c r="AB67" s="248"/>
      <c r="AC67" s="176">
        <f t="shared" si="2"/>
        <v>0</v>
      </c>
      <c r="AD67" s="154" t="e">
        <f>#REF!</f>
        <v>#REF!</v>
      </c>
      <c r="AE67" s="154">
        <v>800</v>
      </c>
      <c r="AF67" s="154">
        <f>Z67</f>
        <v>1100</v>
      </c>
      <c r="AG67" s="154"/>
      <c r="AH67" s="152" t="s">
        <v>290</v>
      </c>
      <c r="AI67" s="152" t="s">
        <v>291</v>
      </c>
      <c r="AJ67" s="33">
        <f>J67</f>
        <v>1100</v>
      </c>
      <c r="AK67" s="33" t="s">
        <v>378</v>
      </c>
      <c r="AL67" s="33"/>
      <c r="AM67" s="33"/>
    </row>
    <row r="68" spans="1:39" s="152" customFormat="1" ht="57.75" customHeight="1">
      <c r="A68" s="141">
        <f>+A67+1</f>
        <v>2</v>
      </c>
      <c r="B68" s="140" t="s">
        <v>773</v>
      </c>
      <c r="C68" s="67" t="s">
        <v>156</v>
      </c>
      <c r="D68" s="67" t="s">
        <v>19</v>
      </c>
      <c r="E68" s="67" t="s">
        <v>146</v>
      </c>
      <c r="F68" s="67" t="s">
        <v>39</v>
      </c>
      <c r="G68" s="162" t="s">
        <v>744</v>
      </c>
      <c r="H68" s="26">
        <v>14012</v>
      </c>
      <c r="I68" s="112">
        <v>6700</v>
      </c>
      <c r="J68" s="25">
        <f>SUM(K68,L68:T68)</f>
        <v>4000</v>
      </c>
      <c r="K68" s="25">
        <v>4000</v>
      </c>
      <c r="L68" s="25"/>
      <c r="M68" s="25"/>
      <c r="N68" s="25"/>
      <c r="O68" s="25"/>
      <c r="P68" s="25"/>
      <c r="Q68" s="25"/>
      <c r="R68" s="25"/>
      <c r="S68" s="25"/>
      <c r="T68" s="25"/>
      <c r="U68" s="25">
        <f>SUM(V68:Y68)</f>
        <v>0</v>
      </c>
      <c r="V68" s="24"/>
      <c r="W68" s="25"/>
      <c r="X68" s="22"/>
      <c r="Y68" s="22"/>
      <c r="Z68" s="22">
        <v>4000</v>
      </c>
      <c r="AA68" s="24"/>
      <c r="AB68" s="248"/>
      <c r="AC68" s="176">
        <f t="shared" si="2"/>
        <v>0</v>
      </c>
      <c r="AD68" s="154" t="e">
        <f>#REF!</f>
        <v>#REF!</v>
      </c>
      <c r="AE68" s="154">
        <v>2700</v>
      </c>
      <c r="AF68" s="154">
        <f>Z68</f>
        <v>4000</v>
      </c>
      <c r="AG68" s="154"/>
      <c r="AH68" s="152" t="s">
        <v>290</v>
      </c>
      <c r="AI68" s="152" t="s">
        <v>291</v>
      </c>
      <c r="AJ68" s="33">
        <f>J68</f>
        <v>4000</v>
      </c>
      <c r="AK68" s="33" t="s">
        <v>378</v>
      </c>
      <c r="AL68" s="33"/>
      <c r="AM68" s="33"/>
    </row>
    <row r="69" spans="1:39" s="151" customFormat="1" ht="39.75" customHeight="1">
      <c r="A69" s="149" t="s">
        <v>24</v>
      </c>
      <c r="B69" s="150" t="s">
        <v>134</v>
      </c>
      <c r="C69" s="149"/>
      <c r="D69" s="149"/>
      <c r="E69" s="149"/>
      <c r="F69" s="149"/>
      <c r="G69" s="149"/>
      <c r="H69" s="57">
        <f>SUM(H70,H72,H74)</f>
        <v>52214</v>
      </c>
      <c r="I69" s="57">
        <f t="shared" ref="I69:Z69" si="62">SUM(I70,I72,I74)</f>
        <v>21100</v>
      </c>
      <c r="J69" s="57">
        <f t="shared" si="62"/>
        <v>21100</v>
      </c>
      <c r="K69" s="57">
        <f t="shared" si="62"/>
        <v>5100</v>
      </c>
      <c r="L69" s="57">
        <f t="shared" si="62"/>
        <v>0</v>
      </c>
      <c r="M69" s="57">
        <f t="shared" si="62"/>
        <v>0</v>
      </c>
      <c r="N69" s="57">
        <f t="shared" si="62"/>
        <v>0</v>
      </c>
      <c r="O69" s="57">
        <f t="shared" si="62"/>
        <v>0</v>
      </c>
      <c r="P69" s="57">
        <f t="shared" si="62"/>
        <v>19500</v>
      </c>
      <c r="Q69" s="57">
        <f t="shared" si="62"/>
        <v>0</v>
      </c>
      <c r="R69" s="57">
        <f t="shared" si="62"/>
        <v>0</v>
      </c>
      <c r="S69" s="57">
        <f t="shared" si="62"/>
        <v>0</v>
      </c>
      <c r="T69" s="57">
        <f t="shared" si="62"/>
        <v>0</v>
      </c>
      <c r="U69" s="57">
        <f t="shared" si="62"/>
        <v>0</v>
      </c>
      <c r="V69" s="57">
        <f t="shared" si="62"/>
        <v>0</v>
      </c>
      <c r="W69" s="57">
        <f t="shared" si="62"/>
        <v>0</v>
      </c>
      <c r="X69" s="57">
        <f t="shared" si="62"/>
        <v>0</v>
      </c>
      <c r="Y69" s="57">
        <f t="shared" si="62"/>
        <v>0</v>
      </c>
      <c r="Z69" s="57">
        <f t="shared" si="62"/>
        <v>21100</v>
      </c>
      <c r="AA69" s="57"/>
      <c r="AB69" s="249"/>
      <c r="AC69" s="176">
        <f t="shared" si="2"/>
        <v>0</v>
      </c>
    </row>
    <row r="70" spans="1:39" s="152" customFormat="1" ht="39.75" customHeight="1">
      <c r="A70" s="141"/>
      <c r="B70" s="153" t="s">
        <v>154</v>
      </c>
      <c r="C70" s="141"/>
      <c r="D70" s="141"/>
      <c r="E70" s="141"/>
      <c r="F70" s="141"/>
      <c r="G70" s="141"/>
      <c r="H70" s="24">
        <f t="shared" ref="H70:Y70" si="63">SUM(H71:H71)</f>
        <v>13771</v>
      </c>
      <c r="I70" s="24">
        <f t="shared" si="63"/>
        <v>5100</v>
      </c>
      <c r="J70" s="24">
        <f t="shared" si="63"/>
        <v>5100</v>
      </c>
      <c r="K70" s="24">
        <f t="shared" si="63"/>
        <v>5100</v>
      </c>
      <c r="L70" s="24">
        <f t="shared" si="63"/>
        <v>0</v>
      </c>
      <c r="M70" s="24">
        <f t="shared" si="63"/>
        <v>0</v>
      </c>
      <c r="N70" s="24">
        <f t="shared" si="63"/>
        <v>0</v>
      </c>
      <c r="O70" s="24">
        <f t="shared" si="63"/>
        <v>0</v>
      </c>
      <c r="P70" s="24">
        <f t="shared" si="63"/>
        <v>0</v>
      </c>
      <c r="Q70" s="24">
        <f t="shared" si="63"/>
        <v>0</v>
      </c>
      <c r="R70" s="24">
        <f t="shared" si="63"/>
        <v>0</v>
      </c>
      <c r="S70" s="24">
        <f t="shared" si="63"/>
        <v>0</v>
      </c>
      <c r="T70" s="24">
        <f t="shared" si="63"/>
        <v>0</v>
      </c>
      <c r="U70" s="24">
        <f t="shared" si="63"/>
        <v>0</v>
      </c>
      <c r="V70" s="24">
        <f t="shared" si="63"/>
        <v>0</v>
      </c>
      <c r="W70" s="24">
        <f t="shared" si="63"/>
        <v>0</v>
      </c>
      <c r="X70" s="24">
        <f t="shared" si="63"/>
        <v>0</v>
      </c>
      <c r="Y70" s="24">
        <f t="shared" si="63"/>
        <v>0</v>
      </c>
      <c r="Z70" s="24">
        <f>SUM(Z71:Z71)</f>
        <v>5100</v>
      </c>
      <c r="AA70" s="24"/>
      <c r="AB70" s="248"/>
      <c r="AC70" s="176">
        <f t="shared" si="2"/>
        <v>0</v>
      </c>
    </row>
    <row r="71" spans="1:39" s="152" customFormat="1" ht="57.75" customHeight="1">
      <c r="A71" s="141">
        <v>1</v>
      </c>
      <c r="B71" s="140" t="s">
        <v>161</v>
      </c>
      <c r="C71" s="67" t="s">
        <v>154</v>
      </c>
      <c r="D71" s="67" t="s">
        <v>19</v>
      </c>
      <c r="E71" s="67" t="s">
        <v>162</v>
      </c>
      <c r="F71" s="67" t="s">
        <v>39</v>
      </c>
      <c r="G71" s="162" t="s">
        <v>948</v>
      </c>
      <c r="H71" s="26">
        <v>13771</v>
      </c>
      <c r="I71" s="112">
        <v>5100</v>
      </c>
      <c r="J71" s="25">
        <f>SUM(K71,L71:T71)</f>
        <v>5100</v>
      </c>
      <c r="K71" s="25">
        <v>5100</v>
      </c>
      <c r="L71" s="25"/>
      <c r="M71" s="25"/>
      <c r="N71" s="25"/>
      <c r="O71" s="25"/>
      <c r="P71" s="25"/>
      <c r="Q71" s="25"/>
      <c r="R71" s="25"/>
      <c r="S71" s="25"/>
      <c r="T71" s="25"/>
      <c r="U71" s="25">
        <f>SUM(V71:Y71)</f>
        <v>0</v>
      </c>
      <c r="V71" s="24"/>
      <c r="W71" s="25"/>
      <c r="X71" s="22"/>
      <c r="Y71" s="22"/>
      <c r="Z71" s="22">
        <v>5100</v>
      </c>
      <c r="AA71" s="24"/>
      <c r="AB71" s="248"/>
      <c r="AC71" s="176">
        <f t="shared" si="2"/>
        <v>0</v>
      </c>
      <c r="AD71" s="154" t="e">
        <f>#REF!</f>
        <v>#REF!</v>
      </c>
      <c r="AE71" s="154" t="e">
        <f>AD71/2.5</f>
        <v>#REF!</v>
      </c>
      <c r="AF71" s="154">
        <f>Z71</f>
        <v>5100</v>
      </c>
      <c r="AG71" s="154"/>
      <c r="AH71" s="152" t="s">
        <v>290</v>
      </c>
      <c r="AI71" s="152" t="s">
        <v>276</v>
      </c>
      <c r="AJ71" s="33">
        <f>J71</f>
        <v>5100</v>
      </c>
      <c r="AK71" s="33"/>
      <c r="AL71" s="33"/>
      <c r="AM71" s="33"/>
    </row>
    <row r="72" spans="1:39" s="152" customFormat="1" ht="39.75" customHeight="1">
      <c r="A72" s="141"/>
      <c r="B72" s="153" t="s">
        <v>156</v>
      </c>
      <c r="C72" s="141"/>
      <c r="D72" s="141"/>
      <c r="E72" s="141"/>
      <c r="F72" s="141"/>
      <c r="G72" s="141"/>
      <c r="H72" s="24">
        <f t="shared" ref="H72:Z72" si="64">SUM(H73:H73)</f>
        <v>14989</v>
      </c>
      <c r="I72" s="24">
        <f t="shared" si="64"/>
        <v>8500</v>
      </c>
      <c r="J72" s="24">
        <f t="shared" si="64"/>
        <v>8500</v>
      </c>
      <c r="K72" s="24">
        <f t="shared" si="64"/>
        <v>0</v>
      </c>
      <c r="L72" s="24">
        <f t="shared" si="64"/>
        <v>0</v>
      </c>
      <c r="M72" s="24">
        <f t="shared" si="64"/>
        <v>0</v>
      </c>
      <c r="N72" s="24">
        <f t="shared" si="64"/>
        <v>0</v>
      </c>
      <c r="O72" s="24">
        <f t="shared" si="64"/>
        <v>0</v>
      </c>
      <c r="P72" s="24">
        <f t="shared" si="64"/>
        <v>12000</v>
      </c>
      <c r="Q72" s="24">
        <f t="shared" si="64"/>
        <v>0</v>
      </c>
      <c r="R72" s="24">
        <f t="shared" si="64"/>
        <v>0</v>
      </c>
      <c r="S72" s="24">
        <f t="shared" si="64"/>
        <v>0</v>
      </c>
      <c r="T72" s="24">
        <f t="shared" si="64"/>
        <v>0</v>
      </c>
      <c r="U72" s="24">
        <f t="shared" si="64"/>
        <v>0</v>
      </c>
      <c r="V72" s="24">
        <f t="shared" si="64"/>
        <v>0</v>
      </c>
      <c r="W72" s="24">
        <f t="shared" si="64"/>
        <v>0</v>
      </c>
      <c r="X72" s="24">
        <f t="shared" si="64"/>
        <v>0</v>
      </c>
      <c r="Y72" s="24">
        <f t="shared" si="64"/>
        <v>0</v>
      </c>
      <c r="Z72" s="24">
        <f t="shared" si="64"/>
        <v>8500</v>
      </c>
      <c r="AA72" s="24"/>
      <c r="AB72" s="248"/>
      <c r="AC72" s="148"/>
    </row>
    <row r="73" spans="1:39" s="287" customFormat="1" ht="57.75" customHeight="1">
      <c r="A73" s="279">
        <v>1</v>
      </c>
      <c r="B73" s="280" t="s">
        <v>370</v>
      </c>
      <c r="C73" s="281" t="s">
        <v>156</v>
      </c>
      <c r="D73" s="281" t="s">
        <v>19</v>
      </c>
      <c r="E73" s="281" t="s">
        <v>371</v>
      </c>
      <c r="F73" s="281" t="s">
        <v>39</v>
      </c>
      <c r="G73" s="282" t="s">
        <v>949</v>
      </c>
      <c r="H73" s="283">
        <v>14989</v>
      </c>
      <c r="I73" s="284">
        <v>8500</v>
      </c>
      <c r="J73" s="25">
        <f>SUM(K73,L73:T73)-3500</f>
        <v>8500</v>
      </c>
      <c r="K73" s="25"/>
      <c r="L73" s="25"/>
      <c r="M73" s="25"/>
      <c r="N73" s="25"/>
      <c r="O73" s="25"/>
      <c r="P73" s="25">
        <v>12000</v>
      </c>
      <c r="Q73" s="25"/>
      <c r="R73" s="25"/>
      <c r="S73" s="25"/>
      <c r="T73" s="25"/>
      <c r="U73" s="25">
        <f>SUM(V73:Y73)</f>
        <v>0</v>
      </c>
      <c r="V73" s="24"/>
      <c r="W73" s="25"/>
      <c r="X73" s="22"/>
      <c r="Y73" s="22"/>
      <c r="Z73" s="22">
        <v>8500</v>
      </c>
      <c r="AA73" s="24"/>
      <c r="AB73" s="248"/>
      <c r="AC73" s="285">
        <f>J73-U73</f>
        <v>8500</v>
      </c>
      <c r="AD73" s="286"/>
      <c r="AE73" s="286"/>
      <c r="AF73" s="286">
        <f>Z73</f>
        <v>8500</v>
      </c>
      <c r="AG73" s="286"/>
      <c r="AH73" s="287" t="s">
        <v>290</v>
      </c>
      <c r="AI73" s="287" t="s">
        <v>276</v>
      </c>
      <c r="AJ73" s="288">
        <f>J73</f>
        <v>8500</v>
      </c>
      <c r="AK73" s="288"/>
      <c r="AL73" s="288"/>
      <c r="AM73" s="288"/>
    </row>
    <row r="74" spans="1:39" s="152" customFormat="1" ht="39.75" customHeight="1">
      <c r="A74" s="141"/>
      <c r="B74" s="153" t="s">
        <v>155</v>
      </c>
      <c r="C74" s="141"/>
      <c r="D74" s="141"/>
      <c r="E74" s="141"/>
      <c r="F74" s="141"/>
      <c r="G74" s="141"/>
      <c r="H74" s="24">
        <f t="shared" ref="H74:Z74" si="65">SUM(H75:H75)</f>
        <v>23454</v>
      </c>
      <c r="I74" s="24">
        <f t="shared" si="65"/>
        <v>7500</v>
      </c>
      <c r="J74" s="24">
        <f>SUM(J75:J75)</f>
        <v>7500</v>
      </c>
      <c r="K74" s="24">
        <f t="shared" si="65"/>
        <v>0</v>
      </c>
      <c r="L74" s="24">
        <f t="shared" si="65"/>
        <v>0</v>
      </c>
      <c r="M74" s="24">
        <f t="shared" si="65"/>
        <v>0</v>
      </c>
      <c r="N74" s="24">
        <f t="shared" si="65"/>
        <v>0</v>
      </c>
      <c r="O74" s="24">
        <f t="shared" si="65"/>
        <v>0</v>
      </c>
      <c r="P74" s="24">
        <f t="shared" si="65"/>
        <v>7500</v>
      </c>
      <c r="Q74" s="24">
        <f t="shared" si="65"/>
        <v>0</v>
      </c>
      <c r="R74" s="24">
        <f t="shared" si="65"/>
        <v>0</v>
      </c>
      <c r="S74" s="24">
        <f t="shared" si="65"/>
        <v>0</v>
      </c>
      <c r="T74" s="24">
        <f t="shared" si="65"/>
        <v>0</v>
      </c>
      <c r="U74" s="24">
        <f t="shared" si="65"/>
        <v>0</v>
      </c>
      <c r="V74" s="24">
        <f t="shared" si="65"/>
        <v>0</v>
      </c>
      <c r="W74" s="24">
        <f t="shared" si="65"/>
        <v>0</v>
      </c>
      <c r="X74" s="24">
        <f t="shared" si="65"/>
        <v>0</v>
      </c>
      <c r="Y74" s="24">
        <f t="shared" si="65"/>
        <v>0</v>
      </c>
      <c r="Z74" s="24">
        <f t="shared" si="65"/>
        <v>7500</v>
      </c>
      <c r="AA74" s="24"/>
      <c r="AB74" s="248"/>
      <c r="AC74" s="148"/>
    </row>
    <row r="75" spans="1:39" s="152" customFormat="1" ht="62.25" customHeight="1">
      <c r="A75" s="141">
        <v>1</v>
      </c>
      <c r="B75" s="140" t="s">
        <v>368</v>
      </c>
      <c r="C75" s="67" t="s">
        <v>155</v>
      </c>
      <c r="D75" s="67" t="s">
        <v>19</v>
      </c>
      <c r="E75" s="67" t="s">
        <v>369</v>
      </c>
      <c r="F75" s="67" t="s">
        <v>39</v>
      </c>
      <c r="G75" s="162" t="s">
        <v>1010</v>
      </c>
      <c r="H75" s="26">
        <v>23454</v>
      </c>
      <c r="I75" s="112">
        <v>7500</v>
      </c>
      <c r="J75" s="25">
        <f>SUM(K75,L75:T75)</f>
        <v>7500</v>
      </c>
      <c r="K75" s="25"/>
      <c r="L75" s="24"/>
      <c r="M75" s="24"/>
      <c r="N75" s="24"/>
      <c r="O75" s="24"/>
      <c r="P75" s="22">
        <v>7500</v>
      </c>
      <c r="Q75" s="24"/>
      <c r="R75" s="24"/>
      <c r="S75" s="24"/>
      <c r="T75" s="24"/>
      <c r="U75" s="25">
        <f>SUM(V75:Y75)</f>
        <v>0</v>
      </c>
      <c r="V75" s="24"/>
      <c r="W75" s="24"/>
      <c r="X75" s="22"/>
      <c r="Y75" s="22"/>
      <c r="Z75" s="22">
        <v>7500</v>
      </c>
      <c r="AA75" s="24"/>
      <c r="AB75" s="248"/>
      <c r="AC75" s="148">
        <f t="shared" ref="AC75" si="66">J75-U75</f>
        <v>7500</v>
      </c>
      <c r="AD75" s="154"/>
      <c r="AE75" s="154"/>
      <c r="AF75" s="154">
        <f>Z75</f>
        <v>7500</v>
      </c>
      <c r="AG75" s="154"/>
      <c r="AH75" s="152" t="s">
        <v>290</v>
      </c>
      <c r="AI75" s="152" t="s">
        <v>276</v>
      </c>
      <c r="AJ75" s="33">
        <f>J75</f>
        <v>7500</v>
      </c>
      <c r="AK75" s="33"/>
      <c r="AL75" s="33"/>
      <c r="AM75" s="33"/>
    </row>
    <row r="76" spans="1:39" s="151" customFormat="1" ht="39.75" customHeight="1">
      <c r="A76" s="149" t="s">
        <v>29</v>
      </c>
      <c r="B76" s="150" t="s">
        <v>57</v>
      </c>
      <c r="C76" s="149"/>
      <c r="D76" s="149"/>
      <c r="E76" s="149"/>
      <c r="F76" s="149"/>
      <c r="G76" s="149"/>
      <c r="H76" s="57">
        <f>SUM(H77)</f>
        <v>6505</v>
      </c>
      <c r="I76" s="57">
        <f t="shared" ref="I76:Y76" si="67">SUM(I77)</f>
        <v>3100</v>
      </c>
      <c r="J76" s="57">
        <f t="shared" si="67"/>
        <v>2215</v>
      </c>
      <c r="K76" s="57">
        <f t="shared" si="67"/>
        <v>3100</v>
      </c>
      <c r="L76" s="57">
        <f t="shared" si="67"/>
        <v>0</v>
      </c>
      <c r="M76" s="57">
        <f t="shared" si="67"/>
        <v>0</v>
      </c>
      <c r="N76" s="57">
        <f t="shared" si="67"/>
        <v>0</v>
      </c>
      <c r="O76" s="57">
        <f t="shared" si="67"/>
        <v>0</v>
      </c>
      <c r="P76" s="57">
        <f t="shared" si="67"/>
        <v>0</v>
      </c>
      <c r="Q76" s="57">
        <f t="shared" si="67"/>
        <v>0</v>
      </c>
      <c r="R76" s="57">
        <f t="shared" si="67"/>
        <v>0</v>
      </c>
      <c r="S76" s="57">
        <f t="shared" si="67"/>
        <v>0</v>
      </c>
      <c r="T76" s="57">
        <f t="shared" si="67"/>
        <v>0</v>
      </c>
      <c r="U76" s="57">
        <f t="shared" si="67"/>
        <v>0</v>
      </c>
      <c r="V76" s="57">
        <f t="shared" si="67"/>
        <v>0</v>
      </c>
      <c r="W76" s="57">
        <f t="shared" si="67"/>
        <v>0</v>
      </c>
      <c r="X76" s="57">
        <f t="shared" si="67"/>
        <v>0</v>
      </c>
      <c r="Y76" s="57">
        <f t="shared" si="67"/>
        <v>0</v>
      </c>
      <c r="Z76" s="57">
        <f>SUM(Z77)</f>
        <v>2215</v>
      </c>
      <c r="AA76" s="57"/>
      <c r="AB76" s="249"/>
      <c r="AC76" s="176">
        <f t="shared" si="2"/>
        <v>0</v>
      </c>
    </row>
    <row r="77" spans="1:39" s="152" customFormat="1" ht="39.75" customHeight="1">
      <c r="A77" s="141"/>
      <c r="B77" s="153" t="s">
        <v>167</v>
      </c>
      <c r="C77" s="141"/>
      <c r="D77" s="141"/>
      <c r="E77" s="141"/>
      <c r="F77" s="141"/>
      <c r="G77" s="141"/>
      <c r="H77" s="24">
        <f t="shared" ref="H77:Y77" si="68">SUM(H78:H79)</f>
        <v>6505</v>
      </c>
      <c r="I77" s="24">
        <f t="shared" si="68"/>
        <v>3100</v>
      </c>
      <c r="J77" s="24">
        <f t="shared" si="68"/>
        <v>2215</v>
      </c>
      <c r="K77" s="24">
        <f t="shared" si="68"/>
        <v>3100</v>
      </c>
      <c r="L77" s="24">
        <f t="shared" si="68"/>
        <v>0</v>
      </c>
      <c r="M77" s="24">
        <f t="shared" si="68"/>
        <v>0</v>
      </c>
      <c r="N77" s="24">
        <f t="shared" si="68"/>
        <v>0</v>
      </c>
      <c r="O77" s="24">
        <f t="shared" si="68"/>
        <v>0</v>
      </c>
      <c r="P77" s="24">
        <f t="shared" si="68"/>
        <v>0</v>
      </c>
      <c r="Q77" s="24">
        <f t="shared" si="68"/>
        <v>0</v>
      </c>
      <c r="R77" s="24">
        <f t="shared" si="68"/>
        <v>0</v>
      </c>
      <c r="S77" s="24">
        <f t="shared" si="68"/>
        <v>0</v>
      </c>
      <c r="T77" s="24">
        <f t="shared" si="68"/>
        <v>0</v>
      </c>
      <c r="U77" s="24">
        <f t="shared" si="68"/>
        <v>0</v>
      </c>
      <c r="V77" s="24">
        <f t="shared" si="68"/>
        <v>0</v>
      </c>
      <c r="W77" s="24">
        <f t="shared" si="68"/>
        <v>0</v>
      </c>
      <c r="X77" s="24">
        <f t="shared" si="68"/>
        <v>0</v>
      </c>
      <c r="Y77" s="24">
        <f t="shared" si="68"/>
        <v>0</v>
      </c>
      <c r="Z77" s="24">
        <f>SUM(Z78:Z79)</f>
        <v>2215</v>
      </c>
      <c r="AA77" s="24"/>
      <c r="AB77" s="248"/>
      <c r="AC77" s="176">
        <f t="shared" si="2"/>
        <v>0</v>
      </c>
    </row>
    <row r="78" spans="1:39" s="152" customFormat="1" ht="57.75" customHeight="1">
      <c r="A78" s="141">
        <v>1</v>
      </c>
      <c r="B78" s="140" t="s">
        <v>168</v>
      </c>
      <c r="C78" s="67" t="s">
        <v>156</v>
      </c>
      <c r="D78" s="67" t="s">
        <v>19</v>
      </c>
      <c r="E78" s="67" t="s">
        <v>166</v>
      </c>
      <c r="F78" s="67" t="s">
        <v>39</v>
      </c>
      <c r="G78" s="162" t="s">
        <v>823</v>
      </c>
      <c r="H78" s="26">
        <v>2529</v>
      </c>
      <c r="I78" s="112">
        <v>1600</v>
      </c>
      <c r="J78" s="25">
        <f>SUM(K78,L78:T78)-885</f>
        <v>715</v>
      </c>
      <c r="K78" s="25">
        <v>1600</v>
      </c>
      <c r="L78" s="25"/>
      <c r="M78" s="25"/>
      <c r="N78" s="25"/>
      <c r="O78" s="25"/>
      <c r="P78" s="25"/>
      <c r="Q78" s="25"/>
      <c r="R78" s="25"/>
      <c r="S78" s="25"/>
      <c r="T78" s="25"/>
      <c r="U78" s="25">
        <f>SUM(V78:Y78)</f>
        <v>0</v>
      </c>
      <c r="V78" s="24"/>
      <c r="W78" s="25"/>
      <c r="X78" s="22"/>
      <c r="Y78" s="22"/>
      <c r="Z78" s="22">
        <v>715</v>
      </c>
      <c r="AA78" s="158"/>
      <c r="AB78" s="271" t="s">
        <v>912</v>
      </c>
      <c r="AC78" s="176">
        <f t="shared" si="2"/>
        <v>0</v>
      </c>
      <c r="AD78" s="154" t="e">
        <f>#REF!</f>
        <v>#REF!</v>
      </c>
      <c r="AE78" s="154">
        <v>1100</v>
      </c>
      <c r="AF78" s="154">
        <f>Z78</f>
        <v>715</v>
      </c>
      <c r="AG78" s="154"/>
      <c r="AH78" s="152" t="s">
        <v>290</v>
      </c>
      <c r="AI78" s="152" t="s">
        <v>278</v>
      </c>
      <c r="AJ78" s="33">
        <f>J78</f>
        <v>715</v>
      </c>
      <c r="AK78" s="33"/>
      <c r="AL78" s="33"/>
      <c r="AM78" s="33"/>
    </row>
    <row r="79" spans="1:39" s="152" customFormat="1" ht="57.75" customHeight="1">
      <c r="A79" s="141">
        <f>+A78+1</f>
        <v>2</v>
      </c>
      <c r="B79" s="140" t="s">
        <v>764</v>
      </c>
      <c r="C79" s="67" t="s">
        <v>156</v>
      </c>
      <c r="D79" s="67" t="s">
        <v>19</v>
      </c>
      <c r="E79" s="67" t="s">
        <v>152</v>
      </c>
      <c r="F79" s="67" t="s">
        <v>39</v>
      </c>
      <c r="G79" s="141" t="s">
        <v>763</v>
      </c>
      <c r="H79" s="26">
        <v>3976</v>
      </c>
      <c r="I79" s="112">
        <v>1500</v>
      </c>
      <c r="J79" s="25">
        <f>SUM(K79,L79:T79)</f>
        <v>1500</v>
      </c>
      <c r="K79" s="25">
        <v>1500</v>
      </c>
      <c r="L79" s="25"/>
      <c r="M79" s="25"/>
      <c r="N79" s="25"/>
      <c r="O79" s="25"/>
      <c r="P79" s="25"/>
      <c r="Q79" s="25"/>
      <c r="R79" s="25"/>
      <c r="S79" s="25"/>
      <c r="T79" s="25"/>
      <c r="U79" s="25">
        <f>SUM(V79:Y79)</f>
        <v>0</v>
      </c>
      <c r="V79" s="24"/>
      <c r="W79" s="25"/>
      <c r="X79" s="22"/>
      <c r="Y79" s="22"/>
      <c r="Z79" s="22">
        <v>1500</v>
      </c>
      <c r="AA79" s="24"/>
      <c r="AB79" s="248"/>
      <c r="AC79" s="176">
        <f t="shared" ref="AC79:AC84" si="69">J79-U79-Z79</f>
        <v>0</v>
      </c>
      <c r="AD79" s="154" t="e">
        <f>#REF!</f>
        <v>#REF!</v>
      </c>
      <c r="AE79" s="154" t="e">
        <f>AD79/2.5</f>
        <v>#REF!</v>
      </c>
      <c r="AF79" s="154">
        <f>Z79</f>
        <v>1500</v>
      </c>
      <c r="AG79" s="154"/>
      <c r="AH79" s="152" t="s">
        <v>290</v>
      </c>
      <c r="AI79" s="152" t="s">
        <v>278</v>
      </c>
      <c r="AJ79" s="33">
        <f>J79</f>
        <v>1500</v>
      </c>
      <c r="AK79" s="33"/>
      <c r="AL79" s="33"/>
      <c r="AM79" s="33"/>
    </row>
    <row r="80" spans="1:39" s="152" customFormat="1" ht="48.75" customHeight="1">
      <c r="A80" s="143" t="s">
        <v>297</v>
      </c>
      <c r="B80" s="153" t="s">
        <v>169</v>
      </c>
      <c r="C80" s="141"/>
      <c r="D80" s="141"/>
      <c r="E80" s="141"/>
      <c r="F80" s="141"/>
      <c r="G80" s="141"/>
      <c r="H80" s="24">
        <f t="shared" ref="H80:Z80" si="70">SUM(H81,H85)</f>
        <v>39406</v>
      </c>
      <c r="I80" s="24">
        <f t="shared" si="70"/>
        <v>23700</v>
      </c>
      <c r="J80" s="24">
        <f t="shared" si="70"/>
        <v>15300</v>
      </c>
      <c r="K80" s="24">
        <f t="shared" si="70"/>
        <v>15300</v>
      </c>
      <c r="L80" s="24">
        <f t="shared" si="70"/>
        <v>0</v>
      </c>
      <c r="M80" s="24">
        <f t="shared" si="70"/>
        <v>0</v>
      </c>
      <c r="N80" s="24">
        <f t="shared" si="70"/>
        <v>0</v>
      </c>
      <c r="O80" s="24">
        <f t="shared" si="70"/>
        <v>0</v>
      </c>
      <c r="P80" s="24">
        <f t="shared" si="70"/>
        <v>0</v>
      </c>
      <c r="Q80" s="24">
        <f t="shared" si="70"/>
        <v>0</v>
      </c>
      <c r="R80" s="24">
        <f t="shared" si="70"/>
        <v>0</v>
      </c>
      <c r="S80" s="24">
        <f t="shared" si="70"/>
        <v>0</v>
      </c>
      <c r="T80" s="24">
        <f t="shared" si="70"/>
        <v>0</v>
      </c>
      <c r="U80" s="24">
        <f t="shared" si="70"/>
        <v>0</v>
      </c>
      <c r="V80" s="24">
        <f t="shared" si="70"/>
        <v>0</v>
      </c>
      <c r="W80" s="24">
        <f t="shared" si="70"/>
        <v>0</v>
      </c>
      <c r="X80" s="24">
        <f t="shared" si="70"/>
        <v>0</v>
      </c>
      <c r="Y80" s="24">
        <f t="shared" si="70"/>
        <v>0</v>
      </c>
      <c r="Z80" s="24">
        <f t="shared" si="70"/>
        <v>15300</v>
      </c>
      <c r="AA80" s="24"/>
      <c r="AB80" s="248"/>
      <c r="AC80" s="176">
        <f t="shared" si="69"/>
        <v>0</v>
      </c>
    </row>
    <row r="81" spans="1:39" s="151" customFormat="1" ht="39.75" customHeight="1">
      <c r="A81" s="149" t="s">
        <v>16</v>
      </c>
      <c r="B81" s="150" t="s">
        <v>56</v>
      </c>
      <c r="C81" s="149"/>
      <c r="D81" s="149"/>
      <c r="E81" s="149"/>
      <c r="F81" s="149"/>
      <c r="G81" s="149"/>
      <c r="H81" s="57">
        <f t="shared" ref="H81:I81" si="71">SUM(H82)</f>
        <v>39406</v>
      </c>
      <c r="I81" s="57">
        <f t="shared" si="71"/>
        <v>23700</v>
      </c>
      <c r="J81" s="57">
        <f>SUM(J82)</f>
        <v>15300</v>
      </c>
      <c r="K81" s="57">
        <f t="shared" ref="K81:Z81" si="72">SUM(K82)</f>
        <v>15300</v>
      </c>
      <c r="L81" s="57">
        <f t="shared" si="72"/>
        <v>0</v>
      </c>
      <c r="M81" s="57">
        <f t="shared" si="72"/>
        <v>0</v>
      </c>
      <c r="N81" s="57">
        <f t="shared" si="72"/>
        <v>0</v>
      </c>
      <c r="O81" s="57">
        <f t="shared" si="72"/>
        <v>0</v>
      </c>
      <c r="P81" s="57">
        <f t="shared" si="72"/>
        <v>0</v>
      </c>
      <c r="Q81" s="57">
        <f t="shared" si="72"/>
        <v>0</v>
      </c>
      <c r="R81" s="57">
        <f t="shared" si="72"/>
        <v>0</v>
      </c>
      <c r="S81" s="57">
        <f t="shared" si="72"/>
        <v>0</v>
      </c>
      <c r="T81" s="57">
        <f t="shared" si="72"/>
        <v>0</v>
      </c>
      <c r="U81" s="57">
        <f t="shared" si="72"/>
        <v>0</v>
      </c>
      <c r="V81" s="57">
        <f t="shared" si="72"/>
        <v>0</v>
      </c>
      <c r="W81" s="57">
        <f t="shared" si="72"/>
        <v>0</v>
      </c>
      <c r="X81" s="57">
        <f t="shared" si="72"/>
        <v>0</v>
      </c>
      <c r="Y81" s="57">
        <f t="shared" si="72"/>
        <v>0</v>
      </c>
      <c r="Z81" s="57">
        <f t="shared" si="72"/>
        <v>15300</v>
      </c>
      <c r="AA81" s="57"/>
      <c r="AB81" s="249"/>
      <c r="AC81" s="176">
        <f t="shared" si="69"/>
        <v>0</v>
      </c>
    </row>
    <row r="82" spans="1:39" s="152" customFormat="1" ht="39.75" customHeight="1">
      <c r="A82" s="141"/>
      <c r="B82" s="153" t="s">
        <v>173</v>
      </c>
      <c r="C82" s="141"/>
      <c r="D82" s="141"/>
      <c r="E82" s="141"/>
      <c r="F82" s="141"/>
      <c r="G82" s="141"/>
      <c r="H82" s="24">
        <f t="shared" ref="H82:Y82" si="73">SUM(H83:H84)</f>
        <v>39406</v>
      </c>
      <c r="I82" s="24">
        <f t="shared" si="73"/>
        <v>23700</v>
      </c>
      <c r="J82" s="24">
        <f t="shared" si="73"/>
        <v>15300</v>
      </c>
      <c r="K82" s="24">
        <f t="shared" si="73"/>
        <v>15300</v>
      </c>
      <c r="L82" s="24">
        <f t="shared" si="73"/>
        <v>0</v>
      </c>
      <c r="M82" s="24">
        <f t="shared" si="73"/>
        <v>0</v>
      </c>
      <c r="N82" s="24">
        <f t="shared" si="73"/>
        <v>0</v>
      </c>
      <c r="O82" s="24">
        <f t="shared" si="73"/>
        <v>0</v>
      </c>
      <c r="P82" s="24">
        <f t="shared" si="73"/>
        <v>0</v>
      </c>
      <c r="Q82" s="24">
        <f t="shared" si="73"/>
        <v>0</v>
      </c>
      <c r="R82" s="24">
        <f t="shared" si="73"/>
        <v>0</v>
      </c>
      <c r="S82" s="24">
        <f t="shared" si="73"/>
        <v>0</v>
      </c>
      <c r="T82" s="24">
        <f t="shared" si="73"/>
        <v>0</v>
      </c>
      <c r="U82" s="24">
        <f t="shared" si="73"/>
        <v>0</v>
      </c>
      <c r="V82" s="24">
        <f t="shared" si="73"/>
        <v>0</v>
      </c>
      <c r="W82" s="24">
        <f t="shared" si="73"/>
        <v>0</v>
      </c>
      <c r="X82" s="24">
        <f t="shared" si="73"/>
        <v>0</v>
      </c>
      <c r="Y82" s="24">
        <f t="shared" si="73"/>
        <v>0</v>
      </c>
      <c r="Z82" s="24">
        <f>SUM(Z83:Z84)</f>
        <v>15300</v>
      </c>
      <c r="AA82" s="24"/>
      <c r="AB82" s="248"/>
      <c r="AC82" s="176">
        <f t="shared" si="69"/>
        <v>0</v>
      </c>
    </row>
    <row r="83" spans="1:39" ht="67.5" customHeight="1">
      <c r="A83" s="141">
        <v>1</v>
      </c>
      <c r="B83" s="155" t="s">
        <v>174</v>
      </c>
      <c r="C83" s="141" t="s">
        <v>173</v>
      </c>
      <c r="D83" s="141" t="s">
        <v>19</v>
      </c>
      <c r="E83" s="141" t="s">
        <v>175</v>
      </c>
      <c r="F83" s="141" t="s">
        <v>39</v>
      </c>
      <c r="G83" s="141" t="s">
        <v>745</v>
      </c>
      <c r="H83" s="115">
        <v>32186</v>
      </c>
      <c r="I83" s="112">
        <v>21000</v>
      </c>
      <c r="J83" s="25">
        <f>SUM(K83,L83:T83)</f>
        <v>12600</v>
      </c>
      <c r="K83" s="115">
        <v>12600</v>
      </c>
      <c r="L83" s="115"/>
      <c r="M83" s="115"/>
      <c r="N83" s="115"/>
      <c r="O83" s="115"/>
      <c r="P83" s="115"/>
      <c r="Q83" s="115"/>
      <c r="R83" s="115"/>
      <c r="S83" s="115"/>
      <c r="T83" s="115"/>
      <c r="U83" s="25">
        <f>SUM(V83:Y83)</f>
        <v>0</v>
      </c>
      <c r="V83" s="115"/>
      <c r="W83" s="115"/>
      <c r="X83" s="22"/>
      <c r="Y83" s="22"/>
      <c r="Z83" s="22">
        <v>12600</v>
      </c>
      <c r="AA83" s="156"/>
      <c r="AB83" s="33"/>
      <c r="AC83" s="176">
        <f t="shared" si="69"/>
        <v>0</v>
      </c>
      <c r="AD83" s="154" t="e">
        <f>#REF!</f>
        <v>#REF!</v>
      </c>
      <c r="AE83" s="154" t="e">
        <f t="shared" ref="AE83" si="74">AD83/2.5</f>
        <v>#REF!</v>
      </c>
      <c r="AF83" s="154">
        <f>Z83</f>
        <v>12600</v>
      </c>
      <c r="AG83" s="154"/>
      <c r="AH83" s="152" t="s">
        <v>290</v>
      </c>
      <c r="AI83" s="152" t="s">
        <v>291</v>
      </c>
      <c r="AJ83" s="33">
        <f>J83</f>
        <v>12600</v>
      </c>
      <c r="AK83" s="33" t="s">
        <v>378</v>
      </c>
      <c r="AL83" s="33"/>
      <c r="AM83" s="33"/>
    </row>
    <row r="84" spans="1:39" ht="67.5" customHeight="1">
      <c r="A84" s="141">
        <v>2</v>
      </c>
      <c r="B84" s="155" t="s">
        <v>176</v>
      </c>
      <c r="C84" s="141" t="s">
        <v>173</v>
      </c>
      <c r="D84" s="141" t="s">
        <v>19</v>
      </c>
      <c r="E84" s="141" t="s">
        <v>177</v>
      </c>
      <c r="F84" s="141" t="s">
        <v>39</v>
      </c>
      <c r="G84" s="141" t="s">
        <v>1008</v>
      </c>
      <c r="H84" s="115">
        <v>7220</v>
      </c>
      <c r="I84" s="112">
        <v>2700</v>
      </c>
      <c r="J84" s="25">
        <f>SUM(K84,L84:T84)</f>
        <v>2700</v>
      </c>
      <c r="K84" s="115">
        <v>2700</v>
      </c>
      <c r="L84" s="115"/>
      <c r="M84" s="115"/>
      <c r="N84" s="115"/>
      <c r="O84" s="115"/>
      <c r="P84" s="115"/>
      <c r="Q84" s="115"/>
      <c r="R84" s="115"/>
      <c r="S84" s="115"/>
      <c r="T84" s="115"/>
      <c r="U84" s="25">
        <f>SUM(V84:Y84)</f>
        <v>0</v>
      </c>
      <c r="V84" s="115"/>
      <c r="W84" s="115"/>
      <c r="X84" s="22"/>
      <c r="Y84" s="22"/>
      <c r="Z84" s="22">
        <v>2700</v>
      </c>
      <c r="AA84" s="156"/>
      <c r="AB84" s="33"/>
      <c r="AC84" s="176">
        <f t="shared" si="69"/>
        <v>0</v>
      </c>
      <c r="AD84" s="154" t="e">
        <f>#REF!</f>
        <v>#REF!</v>
      </c>
      <c r="AE84" s="154">
        <v>1900</v>
      </c>
      <c r="AF84" s="154">
        <f>Z84</f>
        <v>2700</v>
      </c>
      <c r="AG84" s="154"/>
      <c r="AH84" s="152" t="s">
        <v>290</v>
      </c>
      <c r="AI84" s="152" t="s">
        <v>291</v>
      </c>
      <c r="AJ84" s="33">
        <f>J84</f>
        <v>2700</v>
      </c>
      <c r="AK84" s="33" t="s">
        <v>378</v>
      </c>
      <c r="AL84" s="33"/>
      <c r="AM84" s="33"/>
    </row>
  </sheetData>
  <mergeCells count="26">
    <mergeCell ref="A3:AA3"/>
    <mergeCell ref="L8:T8"/>
    <mergeCell ref="A7:A9"/>
    <mergeCell ref="AE7:AE9"/>
    <mergeCell ref="D7:D9"/>
    <mergeCell ref="Z7:Z9"/>
    <mergeCell ref="V8:Y8"/>
    <mergeCell ref="U7:Y7"/>
    <mergeCell ref="J7:J9"/>
    <mergeCell ref="AB7:AB9"/>
    <mergeCell ref="AF7:AF9"/>
    <mergeCell ref="AA7:AA9"/>
    <mergeCell ref="A1:AA1"/>
    <mergeCell ref="A2:AA2"/>
    <mergeCell ref="A4:AA4"/>
    <mergeCell ref="A5:AA5"/>
    <mergeCell ref="AD7:AD9"/>
    <mergeCell ref="F7:F9"/>
    <mergeCell ref="G7:I7"/>
    <mergeCell ref="K8:K9"/>
    <mergeCell ref="G8:G9"/>
    <mergeCell ref="H8:I8"/>
    <mergeCell ref="U8:U9"/>
    <mergeCell ref="B7:B9"/>
    <mergeCell ref="C7:C9"/>
    <mergeCell ref="E7:E9"/>
  </mergeCells>
  <printOptions horizontalCentered="1"/>
  <pageMargins left="0.39370078740157499" right="0.39370078740157499" top="0.39370078740157499" bottom="0.39370078740157499" header="0.196850393700787" footer="0.196850393700787"/>
  <pageSetup paperSize="9" scale="46" fitToHeight="0" orientation="landscape" r:id="rId1"/>
  <headerFooter>
    <oddFooter>&amp;C&amp;P/&amp;N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BA32"/>
  <sheetViews>
    <sheetView view="pageBreakPreview" zoomScale="60" zoomScaleNormal="60" workbookViewId="0">
      <selection activeCell="Z26" sqref="Z26"/>
    </sheetView>
  </sheetViews>
  <sheetFormatPr defaultColWidth="9.109375" defaultRowHeight="16.8"/>
  <cols>
    <col min="1" max="1" width="8.6640625" style="8" customWidth="1"/>
    <col min="2" max="2" width="50.6640625" style="8" customWidth="1"/>
    <col min="3" max="6" width="20.6640625" style="8" customWidth="1"/>
    <col min="7" max="7" width="22.6640625" style="8" customWidth="1"/>
    <col min="8" max="9" width="15.6640625" style="8" customWidth="1"/>
    <col min="10" max="10" width="20.6640625" style="8" customWidth="1"/>
    <col min="11" max="20" width="15.6640625" style="8" hidden="1" customWidth="1"/>
    <col min="21" max="21" width="15.6640625" style="8" customWidth="1"/>
    <col min="22" max="24" width="15.6640625" style="8" hidden="1" customWidth="1"/>
    <col min="25" max="26" width="15.6640625" style="8" customWidth="1"/>
    <col min="27" max="29" width="40.6640625" style="8" customWidth="1"/>
    <col min="30" max="30" width="14.88671875" style="8" customWidth="1"/>
    <col min="31" max="31" width="17.88671875" style="8" customWidth="1"/>
    <col min="32" max="32" width="19.33203125" style="8" customWidth="1"/>
    <col min="33" max="33" width="17.33203125" style="8" customWidth="1"/>
    <col min="34" max="36" width="11.33203125" style="8" customWidth="1"/>
    <col min="37" max="38" width="11.44140625" style="8"/>
    <col min="39" max="39" width="13" style="8" customWidth="1"/>
    <col min="40" max="52" width="11.44140625" style="8"/>
    <col min="53" max="53" width="13.88671875" style="8" customWidth="1"/>
    <col min="54" max="16384" width="9.109375" style="8"/>
  </cols>
  <sheetData>
    <row r="1" spans="1:53" ht="39.9" customHeight="1">
      <c r="A1" s="567" t="s">
        <v>259</v>
      </c>
      <c r="B1" s="567"/>
      <c r="C1" s="567"/>
      <c r="D1" s="567"/>
      <c r="E1" s="567"/>
      <c r="F1" s="567"/>
      <c r="G1" s="567"/>
      <c r="H1" s="567"/>
      <c r="I1" s="567"/>
      <c r="J1" s="567"/>
      <c r="K1" s="567"/>
      <c r="L1" s="567"/>
      <c r="M1" s="567"/>
      <c r="N1" s="567"/>
      <c r="O1" s="567"/>
      <c r="P1" s="567"/>
      <c r="Q1" s="567"/>
      <c r="R1" s="567"/>
      <c r="S1" s="567"/>
      <c r="T1" s="567"/>
      <c r="U1" s="567"/>
      <c r="V1" s="567"/>
      <c r="W1" s="567"/>
      <c r="X1" s="567"/>
      <c r="Y1" s="567"/>
      <c r="Z1" s="567"/>
      <c r="AA1" s="567"/>
      <c r="AB1" s="229"/>
      <c r="AC1" s="229"/>
    </row>
    <row r="2" spans="1:53" ht="35.1" customHeight="1">
      <c r="A2" s="568" t="s">
        <v>724</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234"/>
      <c r="AC2" s="234"/>
    </row>
    <row r="3" spans="1:53" ht="35.1" customHeight="1">
      <c r="A3" s="568" t="s">
        <v>979</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c r="AB3" s="234"/>
      <c r="AC3" s="234"/>
    </row>
    <row r="4" spans="1:53" ht="39.9" customHeight="1">
      <c r="A4" s="569" t="str">
        <f>'4. ĐƯCTMTQG'!A5:AA5</f>
        <v>(Ban hành kèm theo Quyết định số: 2631/QĐ-UBND ngày 19/12 /2024 của Ủy ban nhân dân tỉnh)</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c r="AB4" s="230"/>
      <c r="AC4" s="230"/>
    </row>
    <row r="5" spans="1:53" ht="33.75" customHeight="1">
      <c r="J5" s="9"/>
      <c r="K5" s="207"/>
      <c r="L5" s="207"/>
      <c r="M5" s="207"/>
      <c r="N5" s="207"/>
      <c r="O5" s="207"/>
      <c r="P5" s="207"/>
      <c r="Q5" s="207"/>
      <c r="R5" s="207"/>
      <c r="S5" s="207"/>
      <c r="T5" s="207"/>
      <c r="U5" s="207"/>
      <c r="V5" s="207"/>
      <c r="W5" s="207"/>
      <c r="X5" s="207"/>
      <c r="Y5" s="207"/>
      <c r="Z5" s="207"/>
      <c r="AA5" s="9" t="s">
        <v>0</v>
      </c>
      <c r="AB5" s="238"/>
      <c r="AC5" s="238"/>
    </row>
    <row r="6" spans="1:53" ht="60" customHeight="1">
      <c r="A6" s="563" t="s">
        <v>1</v>
      </c>
      <c r="B6" s="570" t="s">
        <v>2</v>
      </c>
      <c r="C6" s="563" t="s">
        <v>3</v>
      </c>
      <c r="D6" s="570" t="s">
        <v>321</v>
      </c>
      <c r="E6" s="563" t="s">
        <v>4</v>
      </c>
      <c r="F6" s="563" t="s">
        <v>5</v>
      </c>
      <c r="G6" s="563" t="s">
        <v>600</v>
      </c>
      <c r="H6" s="563"/>
      <c r="I6" s="563"/>
      <c r="J6" s="552" t="s">
        <v>850</v>
      </c>
      <c r="K6" s="181"/>
      <c r="L6" s="181"/>
      <c r="M6" s="181"/>
      <c r="N6" s="181"/>
      <c r="O6" s="181"/>
      <c r="P6" s="181"/>
      <c r="Q6" s="181"/>
      <c r="R6" s="181"/>
      <c r="S6" s="181"/>
      <c r="T6" s="182"/>
      <c r="U6" s="536" t="s">
        <v>849</v>
      </c>
      <c r="V6" s="537"/>
      <c r="W6" s="537"/>
      <c r="X6" s="537"/>
      <c r="Y6" s="537"/>
      <c r="Z6" s="547" t="s">
        <v>678</v>
      </c>
      <c r="AA6" s="563" t="s">
        <v>6</v>
      </c>
      <c r="AB6" s="563" t="s">
        <v>939</v>
      </c>
      <c r="AC6" s="65"/>
      <c r="AD6" s="10"/>
      <c r="AE6" s="31" t="s">
        <v>269</v>
      </c>
      <c r="AF6" s="31" t="s">
        <v>270</v>
      </c>
      <c r="AG6" s="32" t="s">
        <v>271</v>
      </c>
      <c r="AH6" s="32" t="s">
        <v>376</v>
      </c>
      <c r="AI6" s="32" t="s">
        <v>378</v>
      </c>
      <c r="AJ6" s="32" t="s">
        <v>377</v>
      </c>
      <c r="AK6" s="32"/>
      <c r="AL6" s="32" t="s">
        <v>272</v>
      </c>
      <c r="AM6" s="31" t="s">
        <v>273</v>
      </c>
      <c r="AN6" s="31" t="s">
        <v>274</v>
      </c>
      <c r="AO6" s="31" t="s">
        <v>275</v>
      </c>
      <c r="AP6" s="31" t="s">
        <v>276</v>
      </c>
      <c r="AQ6" s="31" t="s">
        <v>277</v>
      </c>
      <c r="AR6" s="31" t="s">
        <v>278</v>
      </c>
      <c r="AS6" s="31" t="s">
        <v>279</v>
      </c>
      <c r="AT6" s="31" t="s">
        <v>280</v>
      </c>
      <c r="AU6" s="31" t="s">
        <v>281</v>
      </c>
      <c r="AV6" s="31" t="s">
        <v>282</v>
      </c>
      <c r="AW6" s="31" t="s">
        <v>283</v>
      </c>
      <c r="AX6" s="31" t="s">
        <v>284</v>
      </c>
      <c r="AY6" s="31" t="s">
        <v>285</v>
      </c>
      <c r="AZ6" s="31" t="s">
        <v>286</v>
      </c>
      <c r="BA6" s="32"/>
    </row>
    <row r="7" spans="1:53" ht="60" customHeight="1">
      <c r="A7" s="563"/>
      <c r="B7" s="571"/>
      <c r="C7" s="563"/>
      <c r="D7" s="571"/>
      <c r="E7" s="563"/>
      <c r="F7" s="563"/>
      <c r="G7" s="563" t="s">
        <v>7</v>
      </c>
      <c r="H7" s="563" t="s">
        <v>8</v>
      </c>
      <c r="I7" s="563"/>
      <c r="J7" s="553"/>
      <c r="K7" s="547" t="s">
        <v>355</v>
      </c>
      <c r="L7" s="536" t="s">
        <v>356</v>
      </c>
      <c r="M7" s="537"/>
      <c r="N7" s="537"/>
      <c r="O7" s="537"/>
      <c r="P7" s="537"/>
      <c r="Q7" s="537"/>
      <c r="R7" s="537"/>
      <c r="S7" s="537"/>
      <c r="T7" s="538"/>
      <c r="U7" s="543" t="s">
        <v>9</v>
      </c>
      <c r="V7" s="536" t="s">
        <v>10</v>
      </c>
      <c r="W7" s="537"/>
      <c r="X7" s="537"/>
      <c r="Y7" s="537"/>
      <c r="Z7" s="551"/>
      <c r="AA7" s="563"/>
      <c r="AB7" s="563"/>
      <c r="AC7" s="65"/>
      <c r="AD7" s="10"/>
      <c r="AE7" s="31"/>
      <c r="AF7" s="31"/>
      <c r="AG7" s="32"/>
      <c r="AH7" s="32">
        <f>SUMIF($AH$9:$AH$983,AH6,$AG$9:$AG$983)</f>
        <v>125805</v>
      </c>
      <c r="AI7" s="32">
        <f>SUMIF($AH$9:$AH$983,AI6,$AG$9:$AG$983)</f>
        <v>187100</v>
      </c>
      <c r="AJ7" s="32">
        <f>SUMIF($AH$9:$AH$983,AJ6,$AG$9:$AG$983)</f>
        <v>0</v>
      </c>
      <c r="AK7" s="33" t="s">
        <v>287</v>
      </c>
      <c r="AL7" s="32">
        <f>COUNTIF(AE9:AE985,"CT")</f>
        <v>4</v>
      </c>
      <c r="AM7" s="58">
        <f>SUMIF(AE9:AE985,"CT",AG9:AG985)</f>
        <v>172259</v>
      </c>
      <c r="AN7" s="58">
        <f>SUMIFS($AG$9:$AG$1087,$AE$9:$AE$1087,"CT",$AF$9:$AF$1087,"GT")</f>
        <v>125805</v>
      </c>
      <c r="AO7" s="58"/>
      <c r="AP7" s="58"/>
      <c r="AQ7" s="58"/>
      <c r="AR7" s="58">
        <f>SUMIFS($AG$9:$AG$1087,$AE$9:$AE$1087,"CT",$AF$9:$AF$1087,"VH")</f>
        <v>7944</v>
      </c>
      <c r="AS7" s="58"/>
      <c r="AT7" s="58">
        <f>SUMIFS($AG$9:$AG$1087,$AE$9:$AE$1087,"CT",$AF$9:$AF$1087,"XH-CC")</f>
        <v>38510</v>
      </c>
      <c r="AU7" s="58"/>
      <c r="AV7" s="58"/>
      <c r="AW7" s="58"/>
      <c r="AX7" s="58"/>
      <c r="AY7" s="58"/>
      <c r="AZ7" s="58"/>
      <c r="BA7" s="33">
        <f>SUM(AN7:AZ7)</f>
        <v>172259</v>
      </c>
    </row>
    <row r="8" spans="1:53" ht="81" customHeight="1">
      <c r="A8" s="563"/>
      <c r="B8" s="572"/>
      <c r="C8" s="563"/>
      <c r="D8" s="572"/>
      <c r="E8" s="563"/>
      <c r="F8" s="563"/>
      <c r="G8" s="563"/>
      <c r="H8" s="75" t="s">
        <v>11</v>
      </c>
      <c r="I8" s="75" t="s">
        <v>12</v>
      </c>
      <c r="J8" s="554"/>
      <c r="K8" s="548"/>
      <c r="L8" s="83" t="s">
        <v>357</v>
      </c>
      <c r="M8" s="83" t="s">
        <v>358</v>
      </c>
      <c r="N8" s="83" t="s">
        <v>362</v>
      </c>
      <c r="O8" s="83" t="s">
        <v>363</v>
      </c>
      <c r="P8" s="83" t="s">
        <v>367</v>
      </c>
      <c r="Q8" s="83" t="s">
        <v>372</v>
      </c>
      <c r="R8" s="83" t="s">
        <v>384</v>
      </c>
      <c r="S8" s="83" t="s">
        <v>397</v>
      </c>
      <c r="T8" s="83" t="s">
        <v>399</v>
      </c>
      <c r="U8" s="543"/>
      <c r="V8" s="83" t="s">
        <v>13</v>
      </c>
      <c r="W8" s="83" t="s">
        <v>361</v>
      </c>
      <c r="X8" s="83" t="s">
        <v>497</v>
      </c>
      <c r="Y8" s="83" t="s">
        <v>499</v>
      </c>
      <c r="Z8" s="548"/>
      <c r="AA8" s="563"/>
      <c r="AB8" s="563"/>
      <c r="AC8" s="65"/>
      <c r="AE8" s="31"/>
      <c r="AF8" s="31"/>
      <c r="AG8" s="32"/>
      <c r="AH8" s="32"/>
      <c r="AI8" s="32"/>
      <c r="AJ8" s="32"/>
      <c r="AK8" s="32" t="s">
        <v>288</v>
      </c>
      <c r="AL8" s="32">
        <f>COUNTIF(AE9:AE984,"KCM")</f>
        <v>2</v>
      </c>
      <c r="AM8" s="58">
        <f>SUMIF(AE10:AE985,"KCM",AG10:AG985)</f>
        <v>187100</v>
      </c>
      <c r="AN8" s="58">
        <f>SUMIFS($AG$9:$AG$1087,$AE$9:$AE$1087,"KCM",$AF$9:$AF$1087,"GT")</f>
        <v>187100</v>
      </c>
      <c r="AO8" s="58"/>
      <c r="AP8" s="58"/>
      <c r="AQ8" s="58"/>
      <c r="AR8" s="58">
        <f>SUMIFS($AG$9:$AG$1087,$AE$9:$AE$1087,"KCM",$AF$9:$AF$1087,"VH")</f>
        <v>0</v>
      </c>
      <c r="AS8" s="58"/>
      <c r="AT8" s="58">
        <f>SUMIFS($AG$9:$AG$1087,$AE$9:$AE$1087,"KCM",$AF$9:$AF$1087,"XH-CC")</f>
        <v>0</v>
      </c>
      <c r="AU8" s="58"/>
      <c r="AV8" s="58"/>
      <c r="AW8" s="58"/>
      <c r="AX8" s="58"/>
      <c r="AY8" s="58"/>
      <c r="AZ8" s="58"/>
      <c r="BA8" s="33">
        <f>SUM(AN8:AZ8)</f>
        <v>187100</v>
      </c>
    </row>
    <row r="9" spans="1:53" s="64" customFormat="1" ht="60" customHeight="1">
      <c r="A9" s="208"/>
      <c r="B9" s="61" t="s">
        <v>9</v>
      </c>
      <c r="C9" s="7"/>
      <c r="D9" s="7"/>
      <c r="E9" s="208"/>
      <c r="F9" s="208"/>
      <c r="G9" s="208"/>
      <c r="H9" s="62">
        <f>SUM(H10,H22)</f>
        <v>2175033</v>
      </c>
      <c r="I9" s="62">
        <f t="shared" ref="I9:Z9" si="0">SUM(I10,I22)</f>
        <v>2125148</v>
      </c>
      <c r="J9" s="62">
        <f t="shared" si="0"/>
        <v>1254170</v>
      </c>
      <c r="K9" s="62">
        <f t="shared" si="0"/>
        <v>870400</v>
      </c>
      <c r="L9" s="62">
        <f t="shared" si="0"/>
        <v>0</v>
      </c>
      <c r="M9" s="62">
        <f t="shared" si="0"/>
        <v>0</v>
      </c>
      <c r="N9" s="62">
        <f t="shared" si="0"/>
        <v>265000</v>
      </c>
      <c r="O9" s="62">
        <f t="shared" si="0"/>
        <v>12000</v>
      </c>
      <c r="P9" s="62">
        <f t="shared" si="0"/>
        <v>0</v>
      </c>
      <c r="Q9" s="62">
        <f t="shared" si="0"/>
        <v>0</v>
      </c>
      <c r="R9" s="62">
        <f t="shared" si="0"/>
        <v>0</v>
      </c>
      <c r="S9" s="62">
        <f t="shared" si="0"/>
        <v>100000</v>
      </c>
      <c r="T9" s="62">
        <f t="shared" si="0"/>
        <v>0</v>
      </c>
      <c r="U9" s="62">
        <f t="shared" si="0"/>
        <v>1095108</v>
      </c>
      <c r="V9" s="62">
        <f t="shared" si="0"/>
        <v>251906</v>
      </c>
      <c r="W9" s="62">
        <f t="shared" si="0"/>
        <v>182600</v>
      </c>
      <c r="X9" s="62">
        <f t="shared" si="0"/>
        <v>322311</v>
      </c>
      <c r="Y9" s="62">
        <f t="shared" si="0"/>
        <v>338291</v>
      </c>
      <c r="Z9" s="62">
        <f t="shared" si="0"/>
        <v>132563</v>
      </c>
      <c r="AA9" s="1"/>
      <c r="AB9" s="270"/>
      <c r="AC9" s="244"/>
      <c r="AE9" s="108"/>
      <c r="AF9" s="108"/>
      <c r="AG9" s="109"/>
      <c r="AH9" s="109"/>
      <c r="AI9" s="109"/>
      <c r="AJ9" s="109"/>
      <c r="AK9" s="109"/>
      <c r="AL9" s="109"/>
      <c r="AM9" s="109"/>
      <c r="AN9" s="109"/>
      <c r="AO9" s="109"/>
      <c r="AP9" s="109"/>
      <c r="AQ9" s="109"/>
      <c r="AR9" s="109"/>
      <c r="AS9" s="109"/>
      <c r="AT9" s="109"/>
      <c r="AU9" s="109"/>
      <c r="AV9" s="109"/>
      <c r="AW9" s="109"/>
      <c r="AX9" s="109"/>
      <c r="AY9" s="109"/>
      <c r="AZ9" s="109"/>
      <c r="BA9" s="109"/>
    </row>
    <row r="10" spans="1:53" ht="60" customHeight="1">
      <c r="A10" s="75" t="s">
        <v>14</v>
      </c>
      <c r="B10" s="209" t="s">
        <v>951</v>
      </c>
      <c r="C10" s="7"/>
      <c r="D10" s="7"/>
      <c r="E10" s="7"/>
      <c r="F10" s="7"/>
      <c r="G10" s="7"/>
      <c r="H10" s="5">
        <f t="shared" ref="H10:Y10" si="1">SUM(H11,H15)</f>
        <v>951198</v>
      </c>
      <c r="I10" s="5">
        <f t="shared" si="1"/>
        <v>883718</v>
      </c>
      <c r="J10" s="5">
        <f t="shared" si="1"/>
        <v>418660</v>
      </c>
      <c r="K10" s="5">
        <f t="shared" si="1"/>
        <v>389400</v>
      </c>
      <c r="L10" s="5">
        <f t="shared" si="1"/>
        <v>0</v>
      </c>
      <c r="M10" s="5">
        <f t="shared" si="1"/>
        <v>0</v>
      </c>
      <c r="N10" s="5">
        <f t="shared" si="1"/>
        <v>0</v>
      </c>
      <c r="O10" s="5">
        <f t="shared" si="1"/>
        <v>0</v>
      </c>
      <c r="P10" s="5">
        <f t="shared" si="1"/>
        <v>0</v>
      </c>
      <c r="Q10" s="5">
        <f t="shared" si="1"/>
        <v>0</v>
      </c>
      <c r="R10" s="5">
        <f t="shared" si="1"/>
        <v>0</v>
      </c>
      <c r="S10" s="5">
        <f t="shared" si="1"/>
        <v>0</v>
      </c>
      <c r="T10" s="5">
        <f t="shared" si="1"/>
        <v>0</v>
      </c>
      <c r="U10" s="5">
        <f t="shared" si="1"/>
        <v>374941</v>
      </c>
      <c r="V10" s="5">
        <f t="shared" si="1"/>
        <v>176000</v>
      </c>
      <c r="W10" s="5">
        <f t="shared" si="1"/>
        <v>52441</v>
      </c>
      <c r="X10" s="5">
        <f t="shared" si="1"/>
        <v>35500</v>
      </c>
      <c r="Y10" s="5">
        <f t="shared" si="1"/>
        <v>111000</v>
      </c>
      <c r="Z10" s="5">
        <f>SUM(Z11,Z15)</f>
        <v>43719</v>
      </c>
      <c r="AA10" s="210"/>
      <c r="AB10" s="225"/>
      <c r="AC10" s="138"/>
      <c r="AD10" s="4">
        <f>J10-U10-Z10</f>
        <v>0</v>
      </c>
      <c r="AE10" s="110"/>
      <c r="AF10" s="110"/>
      <c r="AG10" s="111"/>
      <c r="AH10" s="111"/>
      <c r="AI10" s="111"/>
      <c r="AJ10" s="111"/>
      <c r="AK10" s="80" t="s">
        <v>287</v>
      </c>
      <c r="AL10" s="111">
        <f>SUM(AN10:AZ10)</f>
        <v>4</v>
      </c>
      <c r="AM10" s="111"/>
      <c r="AN10" s="111">
        <f>COUNTIFS($AE$9:$AE$985,"CT",$AF$9:$AF$985,"GT")</f>
        <v>2</v>
      </c>
      <c r="AO10" s="111">
        <f>COUNTIFS($AF$9:$AF$985,"CT",$AG$9:$AG$985,"NN-TL")</f>
        <v>0</v>
      </c>
      <c r="AP10" s="111">
        <f>COUNTIFS($AF$9:$AF$985,"CT",$AG$9:$AG$985,"GDĐT")</f>
        <v>0</v>
      </c>
      <c r="AQ10" s="111">
        <f>COUNTIFS($AF$9:$AF$985,"CT",$AG$9:$AG$985,"YT")</f>
        <v>0</v>
      </c>
      <c r="AR10" s="111">
        <f>COUNTIFS($AE$9:$AE$985,"CT",$AF$9:$AF$985,"VH")</f>
        <v>1</v>
      </c>
      <c r="AS10" s="111">
        <f>COUNTIFS($AF$9:$AF$985,"CT",$AG$9:$AG$985,"TTTT")</f>
        <v>0</v>
      </c>
      <c r="AT10" s="111">
        <f>COUNTIFS($AE$9:$AE$985,"CT",$AF$9:$AF$985,"XH-CC")</f>
        <v>1</v>
      </c>
      <c r="AU10" s="111">
        <f>COUNTIFS($AF$9:$AF$985,"CT",$AG$9:$AG$985,"NS")</f>
        <v>0</v>
      </c>
      <c r="AV10" s="111">
        <f>COUNTIFS($AF$9:$AF$985,"CT",$AG$9:$AG$985,"TNMT")</f>
        <v>0</v>
      </c>
      <c r="AW10" s="111">
        <f>COUNTIFS($AF$9:$AF$43,"CT",$AG$9:$AG$43,"QLNN")</f>
        <v>0</v>
      </c>
      <c r="AX10" s="111">
        <f>COUNTIFS($AF$9:$AF$985,"CT",$AG$9:$AG$985,"QPAN")</f>
        <v>0</v>
      </c>
      <c r="AY10" s="111">
        <f>COUNTIFS($AF$9:$AF$985,"CT",$AG$9:$AG$985,"PTĐT")</f>
        <v>0</v>
      </c>
      <c r="AZ10" s="111">
        <f>COUNTIFS($AF$9:$AF$985,"CT",$AG$9:$AG$985,"TMDV")</f>
        <v>0</v>
      </c>
      <c r="BA10" s="111"/>
    </row>
    <row r="11" spans="1:53" ht="38.25" customHeight="1">
      <c r="A11" s="11" t="s">
        <v>16</v>
      </c>
      <c r="B11" s="12" t="s">
        <v>56</v>
      </c>
      <c r="C11" s="7"/>
      <c r="D11" s="7"/>
      <c r="E11" s="7"/>
      <c r="F11" s="7"/>
      <c r="G11" s="7"/>
      <c r="H11" s="21">
        <f>SUM(H12:H14)</f>
        <v>360785</v>
      </c>
      <c r="I11" s="21">
        <f t="shared" ref="I11:Z11" si="2">SUM(I12:I14)</f>
        <v>339014</v>
      </c>
      <c r="J11" s="21">
        <f t="shared" si="2"/>
        <v>159257</v>
      </c>
      <c r="K11" s="21">
        <f t="shared" si="2"/>
        <v>168456</v>
      </c>
      <c r="L11" s="21">
        <f t="shared" si="2"/>
        <v>0</v>
      </c>
      <c r="M11" s="21">
        <f t="shared" si="2"/>
        <v>0</v>
      </c>
      <c r="N11" s="21">
        <f t="shared" si="2"/>
        <v>0</v>
      </c>
      <c r="O11" s="21">
        <f t="shared" si="2"/>
        <v>0</v>
      </c>
      <c r="P11" s="21">
        <f t="shared" si="2"/>
        <v>0</v>
      </c>
      <c r="Q11" s="21">
        <f t="shared" si="2"/>
        <v>0</v>
      </c>
      <c r="R11" s="21">
        <f t="shared" si="2"/>
        <v>0</v>
      </c>
      <c r="S11" s="21">
        <f t="shared" si="2"/>
        <v>0</v>
      </c>
      <c r="T11" s="21">
        <f t="shared" si="2"/>
        <v>0</v>
      </c>
      <c r="U11" s="21">
        <f t="shared" si="2"/>
        <v>155200</v>
      </c>
      <c r="V11" s="21">
        <f t="shared" si="2"/>
        <v>65000</v>
      </c>
      <c r="W11" s="21">
        <f t="shared" si="2"/>
        <v>45700</v>
      </c>
      <c r="X11" s="21">
        <f t="shared" si="2"/>
        <v>35500</v>
      </c>
      <c r="Y11" s="21">
        <f t="shared" si="2"/>
        <v>9000</v>
      </c>
      <c r="Z11" s="21">
        <f t="shared" si="2"/>
        <v>4057</v>
      </c>
      <c r="AA11" s="211"/>
      <c r="AB11" s="272"/>
      <c r="AC11" s="250"/>
      <c r="AD11" s="4">
        <f t="shared" ref="AD11:AD21" si="3">J11-U11-Z11</f>
        <v>0</v>
      </c>
      <c r="AE11" s="110"/>
      <c r="AF11" s="110"/>
      <c r="AG11" s="111"/>
      <c r="AH11" s="111"/>
      <c r="AI11" s="111"/>
      <c r="AJ11" s="111"/>
      <c r="AK11" s="79" t="s">
        <v>288</v>
      </c>
      <c r="AL11" s="111">
        <f>SUM(AN11:AZ11)</f>
        <v>2</v>
      </c>
      <c r="AM11" s="111"/>
      <c r="AN11" s="111">
        <f>COUNTIFS($AE$9:$AE$985,"KCM",$AF$9:$AF$985,"GT")</f>
        <v>2</v>
      </c>
      <c r="AO11" s="111">
        <f>COUNTIFS($AF$9:$AF$985,"KCM",$AG$9:$AG$985,"NN-TL")</f>
        <v>0</v>
      </c>
      <c r="AP11" s="111">
        <f>COUNTIFS($AF$9:$AF$985,"KCM",$AG$9:$AG$985,"GDĐT")</f>
        <v>0</v>
      </c>
      <c r="AQ11" s="111">
        <f>COUNTIFS($AF$9:$AF$985,"KCM",$AG$9:$AG$985,"YT")</f>
        <v>0</v>
      </c>
      <c r="AR11" s="111">
        <f>COUNTIFS($AE$9:$AE$985,"KCM",$AF$9:$AF$985,"VH")</f>
        <v>0</v>
      </c>
      <c r="AS11" s="111">
        <f>COUNTIFS($AF$9:$AF$985,"KCM",$AG$9:$AG$985,"TTTT")</f>
        <v>0</v>
      </c>
      <c r="AT11" s="111">
        <f>COUNTIFS($AF$9:$AF$985,"KCM",$AG$9:$AG$985,"XH-CC")</f>
        <v>0</v>
      </c>
      <c r="AU11" s="111">
        <f>COUNTIFS($AF$9:$AF$985,"KCM",$AG$9:$AG$985,"NS")</f>
        <v>0</v>
      </c>
      <c r="AV11" s="111">
        <f>COUNTIFS($AF$9:$AF$985,"KCM",$AG$9:$AG$985,"TNMT")</f>
        <v>0</v>
      </c>
      <c r="AW11" s="111">
        <f>COUNTIFS($AF$9:$AF$985,"KCM",$AG$9:$AG$985,"QLNN")</f>
        <v>0</v>
      </c>
      <c r="AX11" s="111">
        <f>COUNTIFS($AF$9:$AF$985,"KCM",$AG$9:$AG$985,"QPAN")</f>
        <v>0</v>
      </c>
      <c r="AY11" s="111">
        <f>COUNTIFS($AF$9:$AF$985,"KCM",$AG$9:$AG$985,"PTĐT")</f>
        <v>0</v>
      </c>
      <c r="AZ11" s="111">
        <f>COUNTIFS($AF$9:$AF$985,"KCM",$AG$9:$AG$985,"TMDV")</f>
        <v>0</v>
      </c>
      <c r="BA11" s="111"/>
    </row>
    <row r="12" spans="1:53" ht="74.25" customHeight="1">
      <c r="A12" s="7">
        <v>1</v>
      </c>
      <c r="B12" s="66" t="s">
        <v>27</v>
      </c>
      <c r="C12" s="7" t="s">
        <v>266</v>
      </c>
      <c r="D12" s="7" t="s">
        <v>21</v>
      </c>
      <c r="E12" s="212" t="s">
        <v>301</v>
      </c>
      <c r="F12" s="67" t="s">
        <v>189</v>
      </c>
      <c r="G12" s="213" t="s">
        <v>28</v>
      </c>
      <c r="H12" s="112">
        <v>148763</v>
      </c>
      <c r="I12" s="112">
        <v>148763</v>
      </c>
      <c r="J12" s="25">
        <f t="shared" ref="J12" si="4">SUM(K12,L12:S12)</f>
        <v>6805</v>
      </c>
      <c r="K12" s="112">
        <v>6805</v>
      </c>
      <c r="L12" s="25"/>
      <c r="M12" s="25"/>
      <c r="N12" s="25"/>
      <c r="O12" s="25"/>
      <c r="P12" s="25"/>
      <c r="Q12" s="25"/>
      <c r="R12" s="25"/>
      <c r="S12" s="25"/>
      <c r="T12" s="25"/>
      <c r="U12" s="25">
        <f t="shared" ref="U12:U13" si="5">SUM(V12:Y12)</f>
        <v>5700</v>
      </c>
      <c r="V12" s="25"/>
      <c r="W12" s="53">
        <v>5700</v>
      </c>
      <c r="X12" s="53"/>
      <c r="Y12" s="53"/>
      <c r="Z12" s="53">
        <v>1105</v>
      </c>
      <c r="AA12" s="214"/>
      <c r="AB12" s="273"/>
      <c r="AC12" s="251"/>
      <c r="AD12" s="4">
        <f t="shared" si="3"/>
        <v>0</v>
      </c>
      <c r="AE12" s="8" t="s">
        <v>289</v>
      </c>
      <c r="AF12" s="8" t="s">
        <v>291</v>
      </c>
      <c r="AG12" s="4">
        <f>J12</f>
        <v>6805</v>
      </c>
      <c r="AH12" s="4" t="s">
        <v>376</v>
      </c>
      <c r="AI12" s="4"/>
      <c r="AJ12" s="4"/>
    </row>
    <row r="13" spans="1:53" ht="81.75" customHeight="1">
      <c r="A13" s="7">
        <v>2</v>
      </c>
      <c r="B13" s="66" t="s">
        <v>36</v>
      </c>
      <c r="C13" s="206" t="s">
        <v>37</v>
      </c>
      <c r="D13" s="206" t="s">
        <v>21</v>
      </c>
      <c r="E13" s="7" t="s">
        <v>38</v>
      </c>
      <c r="F13" s="7" t="s">
        <v>39</v>
      </c>
      <c r="G13" s="162" t="s">
        <v>40</v>
      </c>
      <c r="H13" s="112">
        <v>199195</v>
      </c>
      <c r="I13" s="112">
        <v>181000</v>
      </c>
      <c r="J13" s="25">
        <f>SUM(K13,L13:S13)-9551</f>
        <v>152100</v>
      </c>
      <c r="K13" s="112">
        <f>165000-3349</f>
        <v>161651</v>
      </c>
      <c r="L13" s="25"/>
      <c r="M13" s="25"/>
      <c r="N13" s="25"/>
      <c r="O13" s="25"/>
      <c r="P13" s="25"/>
      <c r="Q13" s="25"/>
      <c r="R13" s="25"/>
      <c r="S13" s="25"/>
      <c r="T13" s="25"/>
      <c r="U13" s="25">
        <f t="shared" si="5"/>
        <v>149500</v>
      </c>
      <c r="V13" s="112">
        <v>65000</v>
      </c>
      <c r="W13" s="22">
        <v>40000</v>
      </c>
      <c r="X13" s="81">
        <v>35500</v>
      </c>
      <c r="Y13" s="82">
        <v>9000</v>
      </c>
      <c r="Z13" s="53">
        <v>2600</v>
      </c>
      <c r="AA13" s="214"/>
      <c r="AB13" s="269" t="s">
        <v>914</v>
      </c>
      <c r="AC13" s="263" t="s">
        <v>810</v>
      </c>
      <c r="AD13" s="4">
        <f t="shared" si="3"/>
        <v>0</v>
      </c>
      <c r="AE13" s="8" t="s">
        <v>290</v>
      </c>
      <c r="AF13" s="8" t="s">
        <v>291</v>
      </c>
      <c r="AG13" s="4">
        <f>J13</f>
        <v>152100</v>
      </c>
      <c r="AH13" s="4" t="s">
        <v>378</v>
      </c>
      <c r="AI13" s="4"/>
      <c r="AJ13" s="4"/>
    </row>
    <row r="14" spans="1:53" ht="75.75" customHeight="1">
      <c r="A14" s="7">
        <v>3</v>
      </c>
      <c r="B14" s="435" t="s">
        <v>952</v>
      </c>
      <c r="C14" s="7" t="s">
        <v>17</v>
      </c>
      <c r="D14" s="337" t="s">
        <v>19</v>
      </c>
      <c r="E14" s="436" t="s">
        <v>955</v>
      </c>
      <c r="F14" s="338" t="s">
        <v>954</v>
      </c>
      <c r="G14" s="339" t="s">
        <v>956</v>
      </c>
      <c r="H14" s="26">
        <v>12827</v>
      </c>
      <c r="I14" s="26">
        <v>9251</v>
      </c>
      <c r="J14" s="25">
        <v>352</v>
      </c>
      <c r="K14" s="112"/>
      <c r="L14" s="25"/>
      <c r="M14" s="25"/>
      <c r="N14" s="25"/>
      <c r="O14" s="25"/>
      <c r="P14" s="25"/>
      <c r="Q14" s="25"/>
      <c r="R14" s="25"/>
      <c r="S14" s="25"/>
      <c r="T14" s="25"/>
      <c r="U14" s="25"/>
      <c r="V14" s="112"/>
      <c r="W14" s="22"/>
      <c r="X14" s="81"/>
      <c r="Y14" s="82"/>
      <c r="Z14" s="53">
        <v>352</v>
      </c>
      <c r="AA14" s="214"/>
      <c r="AB14" s="269"/>
      <c r="AC14" s="243"/>
      <c r="AD14" s="4"/>
      <c r="AG14" s="4"/>
      <c r="AH14" s="4"/>
      <c r="AI14" s="4"/>
      <c r="AJ14" s="4"/>
    </row>
    <row r="15" spans="1:53" ht="38.25" customHeight="1">
      <c r="A15" s="11" t="s">
        <v>24</v>
      </c>
      <c r="B15" s="12" t="s">
        <v>57</v>
      </c>
      <c r="C15" s="7"/>
      <c r="D15" s="7"/>
      <c r="E15" s="7"/>
      <c r="F15" s="7"/>
      <c r="G15" s="7"/>
      <c r="H15" s="21">
        <f t="shared" ref="H15:Z15" si="6">SUM(H16:H21)</f>
        <v>590413</v>
      </c>
      <c r="I15" s="21">
        <f t="shared" si="6"/>
        <v>544704</v>
      </c>
      <c r="J15" s="21">
        <f t="shared" si="6"/>
        <v>259403</v>
      </c>
      <c r="K15" s="21">
        <f t="shared" si="6"/>
        <v>220944</v>
      </c>
      <c r="L15" s="21">
        <f t="shared" si="6"/>
        <v>0</v>
      </c>
      <c r="M15" s="21">
        <f t="shared" si="6"/>
        <v>0</v>
      </c>
      <c r="N15" s="21">
        <f t="shared" si="6"/>
        <v>0</v>
      </c>
      <c r="O15" s="21">
        <f t="shared" si="6"/>
        <v>0</v>
      </c>
      <c r="P15" s="21">
        <f t="shared" si="6"/>
        <v>0</v>
      </c>
      <c r="Q15" s="21">
        <f t="shared" si="6"/>
        <v>0</v>
      </c>
      <c r="R15" s="21">
        <f t="shared" si="6"/>
        <v>0</v>
      </c>
      <c r="S15" s="21">
        <f t="shared" si="6"/>
        <v>0</v>
      </c>
      <c r="T15" s="21">
        <f t="shared" si="6"/>
        <v>0</v>
      </c>
      <c r="U15" s="21">
        <f t="shared" si="6"/>
        <v>219741</v>
      </c>
      <c r="V15" s="21">
        <f t="shared" si="6"/>
        <v>111000</v>
      </c>
      <c r="W15" s="21">
        <f t="shared" si="6"/>
        <v>6741</v>
      </c>
      <c r="X15" s="21">
        <f t="shared" si="6"/>
        <v>0</v>
      </c>
      <c r="Y15" s="21">
        <f t="shared" si="6"/>
        <v>102000</v>
      </c>
      <c r="Z15" s="21">
        <f t="shared" si="6"/>
        <v>39662</v>
      </c>
      <c r="AA15" s="211"/>
      <c r="AB15" s="272"/>
      <c r="AC15" s="250"/>
      <c r="AD15" s="4">
        <f t="shared" si="3"/>
        <v>0</v>
      </c>
    </row>
    <row r="16" spans="1:53" ht="83.25" customHeight="1">
      <c r="A16" s="7">
        <v>1</v>
      </c>
      <c r="B16" s="66" t="s">
        <v>25</v>
      </c>
      <c r="C16" s="7" t="s">
        <v>266</v>
      </c>
      <c r="D16" s="7" t="s">
        <v>21</v>
      </c>
      <c r="E16" s="212" t="s">
        <v>300</v>
      </c>
      <c r="F16" s="67" t="s">
        <v>189</v>
      </c>
      <c r="G16" s="213" t="s">
        <v>26</v>
      </c>
      <c r="H16" s="112">
        <v>182263</v>
      </c>
      <c r="I16" s="112">
        <v>182263</v>
      </c>
      <c r="J16" s="25">
        <f>SUM(K16,L16:S16)</f>
        <v>7944</v>
      </c>
      <c r="K16" s="112">
        <v>7944</v>
      </c>
      <c r="L16" s="25"/>
      <c r="M16" s="25"/>
      <c r="N16" s="25"/>
      <c r="O16" s="25"/>
      <c r="P16" s="25"/>
      <c r="Q16" s="25"/>
      <c r="R16" s="25"/>
      <c r="S16" s="25"/>
      <c r="T16" s="25"/>
      <c r="U16" s="25">
        <f t="shared" ref="U16:U21" si="7">SUM(V16:Y16)</f>
        <v>6741</v>
      </c>
      <c r="V16" s="25"/>
      <c r="W16" s="139">
        <v>6741</v>
      </c>
      <c r="X16" s="218"/>
      <c r="Y16" s="218"/>
      <c r="Z16" s="76">
        <v>1203</v>
      </c>
      <c r="AA16" s="214"/>
      <c r="AB16" s="274" t="s">
        <v>881</v>
      </c>
      <c r="AC16" s="251"/>
      <c r="AD16" s="4">
        <f t="shared" si="3"/>
        <v>0</v>
      </c>
      <c r="AE16" s="8" t="s">
        <v>289</v>
      </c>
      <c r="AF16" s="8" t="s">
        <v>278</v>
      </c>
      <c r="AG16" s="4">
        <f>J16</f>
        <v>7944</v>
      </c>
      <c r="AH16" s="4"/>
      <c r="AI16" s="4"/>
      <c r="AJ16" s="4"/>
    </row>
    <row r="17" spans="1:53" ht="83.25" customHeight="1">
      <c r="A17" s="7">
        <f t="shared" ref="A17:A21" si="8">+A16+1</f>
        <v>2</v>
      </c>
      <c r="B17" s="66" t="s">
        <v>485</v>
      </c>
      <c r="C17" s="7" t="s">
        <v>52</v>
      </c>
      <c r="D17" s="7" t="s">
        <v>19</v>
      </c>
      <c r="E17" s="212" t="s">
        <v>486</v>
      </c>
      <c r="F17" s="67" t="s">
        <v>487</v>
      </c>
      <c r="G17" s="215" t="s">
        <v>488</v>
      </c>
      <c r="H17" s="112">
        <v>29981</v>
      </c>
      <c r="I17" s="112">
        <v>29981</v>
      </c>
      <c r="J17" s="25">
        <f>SUM(K17,L17:S17)+1632</f>
        <v>7632</v>
      </c>
      <c r="K17" s="112">
        <v>6000</v>
      </c>
      <c r="L17" s="25"/>
      <c r="M17" s="25"/>
      <c r="N17" s="25"/>
      <c r="O17" s="25"/>
      <c r="P17" s="25"/>
      <c r="Q17" s="25"/>
      <c r="R17" s="25"/>
      <c r="S17" s="25"/>
      <c r="T17" s="25"/>
      <c r="U17" s="25">
        <f t="shared" si="7"/>
        <v>6000</v>
      </c>
      <c r="V17" s="25">
        <v>6000</v>
      </c>
      <c r="W17" s="25"/>
      <c r="X17" s="37"/>
      <c r="Y17" s="37"/>
      <c r="Z17" s="76">
        <v>1632</v>
      </c>
      <c r="AA17" s="214"/>
      <c r="AB17" s="277" t="s">
        <v>915</v>
      </c>
      <c r="AC17" s="266" t="s">
        <v>493</v>
      </c>
      <c r="AD17" s="4">
        <f t="shared" si="3"/>
        <v>0</v>
      </c>
      <c r="AG17" s="4"/>
      <c r="AH17" s="4"/>
      <c r="AI17" s="4"/>
      <c r="AJ17" s="4"/>
    </row>
    <row r="18" spans="1:53" ht="95.25" customHeight="1">
      <c r="A18" s="7">
        <f t="shared" si="8"/>
        <v>3</v>
      </c>
      <c r="B18" s="66" t="s">
        <v>489</v>
      </c>
      <c r="C18" s="7" t="s">
        <v>48</v>
      </c>
      <c r="D18" s="7" t="s">
        <v>21</v>
      </c>
      <c r="E18" s="7" t="s">
        <v>490</v>
      </c>
      <c r="F18" s="7" t="s">
        <v>39</v>
      </c>
      <c r="G18" s="216" t="s">
        <v>643</v>
      </c>
      <c r="H18" s="219">
        <v>88000</v>
      </c>
      <c r="I18" s="219">
        <v>88000</v>
      </c>
      <c r="J18" s="25">
        <f>SUM(K18,L18:S18)+3902</f>
        <v>63902</v>
      </c>
      <c r="K18" s="112">
        <v>60000</v>
      </c>
      <c r="L18" s="26"/>
      <c r="M18" s="26"/>
      <c r="N18" s="26"/>
      <c r="O18" s="26"/>
      <c r="P18" s="26"/>
      <c r="Q18" s="26"/>
      <c r="R18" s="26"/>
      <c r="S18" s="26"/>
      <c r="T18" s="26"/>
      <c r="U18" s="25">
        <f t="shared" si="7"/>
        <v>60000</v>
      </c>
      <c r="V18" s="112">
        <v>60000</v>
      </c>
      <c r="W18" s="26"/>
      <c r="X18" s="220"/>
      <c r="Y18" s="220"/>
      <c r="Z18" s="76">
        <v>3902</v>
      </c>
      <c r="AA18" s="214"/>
      <c r="AB18" s="277" t="s">
        <v>916</v>
      </c>
      <c r="AC18" s="266" t="s">
        <v>494</v>
      </c>
      <c r="AD18" s="4">
        <f t="shared" si="3"/>
        <v>0</v>
      </c>
      <c r="AG18" s="4"/>
      <c r="AH18" s="4"/>
      <c r="AI18" s="4"/>
      <c r="AJ18" s="4"/>
    </row>
    <row r="19" spans="1:53" ht="75.75" customHeight="1">
      <c r="A19" s="7">
        <f t="shared" si="8"/>
        <v>4</v>
      </c>
      <c r="B19" s="66" t="s">
        <v>491</v>
      </c>
      <c r="C19" s="7" t="s">
        <v>48</v>
      </c>
      <c r="D19" s="7" t="s">
        <v>21</v>
      </c>
      <c r="E19" s="7" t="s">
        <v>492</v>
      </c>
      <c r="F19" s="7" t="s">
        <v>39</v>
      </c>
      <c r="G19" s="216" t="s">
        <v>644</v>
      </c>
      <c r="H19" s="219">
        <v>107460</v>
      </c>
      <c r="I19" s="219">
        <v>107460</v>
      </c>
      <c r="J19" s="25">
        <f>SUM(K19,L19:S19)+6424</f>
        <v>51424</v>
      </c>
      <c r="K19" s="112">
        <v>45000</v>
      </c>
      <c r="L19" s="26"/>
      <c r="M19" s="26"/>
      <c r="N19" s="26"/>
      <c r="O19" s="26"/>
      <c r="P19" s="26"/>
      <c r="Q19" s="26"/>
      <c r="R19" s="26"/>
      <c r="S19" s="26"/>
      <c r="T19" s="26"/>
      <c r="U19" s="25">
        <f t="shared" si="7"/>
        <v>45000</v>
      </c>
      <c r="V19" s="112">
        <v>45000</v>
      </c>
      <c r="W19" s="26"/>
      <c r="X19" s="26"/>
      <c r="Y19" s="26"/>
      <c r="Z19" s="76">
        <v>6424</v>
      </c>
      <c r="AA19" s="214"/>
      <c r="AB19" s="277" t="s">
        <v>917</v>
      </c>
      <c r="AC19" s="266" t="s">
        <v>495</v>
      </c>
      <c r="AD19" s="4">
        <f t="shared" si="3"/>
        <v>0</v>
      </c>
      <c r="AG19" s="4"/>
      <c r="AH19" s="4"/>
      <c r="AI19" s="4"/>
      <c r="AJ19" s="4"/>
    </row>
    <row r="20" spans="1:53" ht="75.75" customHeight="1">
      <c r="A20" s="7">
        <f t="shared" si="8"/>
        <v>5</v>
      </c>
      <c r="B20" s="3" t="s">
        <v>50</v>
      </c>
      <c r="C20" s="67" t="s">
        <v>51</v>
      </c>
      <c r="D20" s="7" t="s">
        <v>21</v>
      </c>
      <c r="E20" s="67" t="s">
        <v>353</v>
      </c>
      <c r="F20" s="67" t="s">
        <v>39</v>
      </c>
      <c r="G20" s="163" t="s">
        <v>618</v>
      </c>
      <c r="H20" s="26">
        <v>88333</v>
      </c>
      <c r="I20" s="26">
        <v>42000</v>
      </c>
      <c r="J20" s="25">
        <f>SUM(K20,L20:S20)+16000</f>
        <v>58000</v>
      </c>
      <c r="K20" s="26">
        <f>42000</f>
        <v>42000</v>
      </c>
      <c r="L20" s="26"/>
      <c r="M20" s="26"/>
      <c r="N20" s="26"/>
      <c r="O20" s="26"/>
      <c r="P20" s="26"/>
      <c r="Q20" s="26"/>
      <c r="R20" s="26"/>
      <c r="S20" s="26"/>
      <c r="T20" s="26"/>
      <c r="U20" s="25">
        <f t="shared" si="7"/>
        <v>42000</v>
      </c>
      <c r="V20" s="26"/>
      <c r="W20" s="26"/>
      <c r="X20" s="26"/>
      <c r="Y20" s="82">
        <v>42000</v>
      </c>
      <c r="Z20" s="76">
        <v>16000</v>
      </c>
      <c r="AA20" s="214"/>
      <c r="AB20" s="277" t="s">
        <v>918</v>
      </c>
      <c r="AC20" s="266" t="s">
        <v>496</v>
      </c>
      <c r="AD20" s="4">
        <f t="shared" si="3"/>
        <v>0</v>
      </c>
      <c r="AG20" s="4"/>
      <c r="AH20" s="4"/>
      <c r="AI20" s="4"/>
      <c r="AJ20" s="4"/>
    </row>
    <row r="21" spans="1:53" ht="75.75" customHeight="1">
      <c r="A21" s="7">
        <f t="shared" si="8"/>
        <v>6</v>
      </c>
      <c r="B21" s="66" t="s">
        <v>53</v>
      </c>
      <c r="C21" s="7" t="s">
        <v>52</v>
      </c>
      <c r="D21" s="7" t="s">
        <v>21</v>
      </c>
      <c r="E21" s="7" t="s">
        <v>55</v>
      </c>
      <c r="F21" s="7" t="s">
        <v>39</v>
      </c>
      <c r="G21" s="7" t="s">
        <v>617</v>
      </c>
      <c r="H21" s="112">
        <v>94376</v>
      </c>
      <c r="I21" s="112">
        <v>95000</v>
      </c>
      <c r="J21" s="25">
        <f>SUM(K21,L21:S21)+10501</f>
        <v>70501</v>
      </c>
      <c r="K21" s="112">
        <v>60000</v>
      </c>
      <c r="L21" s="112"/>
      <c r="M21" s="112"/>
      <c r="N21" s="112"/>
      <c r="O21" s="112"/>
      <c r="P21" s="112"/>
      <c r="Q21" s="112"/>
      <c r="R21" s="112"/>
      <c r="S21" s="112"/>
      <c r="T21" s="112"/>
      <c r="U21" s="25">
        <f t="shared" si="7"/>
        <v>60000</v>
      </c>
      <c r="V21" s="112"/>
      <c r="W21" s="112"/>
      <c r="X21" s="221"/>
      <c r="Y21" s="82">
        <v>60000</v>
      </c>
      <c r="Z21" s="76">
        <v>10501</v>
      </c>
      <c r="AA21" s="214"/>
      <c r="AB21" s="275" t="s">
        <v>919</v>
      </c>
      <c r="AC21" s="267" t="s">
        <v>822</v>
      </c>
      <c r="AD21" s="4">
        <f t="shared" si="3"/>
        <v>0</v>
      </c>
      <c r="AG21" s="4"/>
      <c r="AH21" s="4"/>
      <c r="AI21" s="4"/>
      <c r="AJ21" s="4"/>
    </row>
    <row r="22" spans="1:53" ht="60" customHeight="1">
      <c r="A22" s="290" t="s">
        <v>34</v>
      </c>
      <c r="B22" s="209" t="s">
        <v>689</v>
      </c>
      <c r="C22" s="7"/>
      <c r="D22" s="7"/>
      <c r="E22" s="7"/>
      <c r="F22" s="7"/>
      <c r="G22" s="7"/>
      <c r="H22" s="5">
        <f t="shared" ref="H22:Z22" si="9">SUM(H23,H28,H31)</f>
        <v>1223835</v>
      </c>
      <c r="I22" s="5">
        <f t="shared" si="9"/>
        <v>1241430</v>
      </c>
      <c r="J22" s="5">
        <f t="shared" si="9"/>
        <v>835510</v>
      </c>
      <c r="K22" s="5">
        <f t="shared" si="9"/>
        <v>481000</v>
      </c>
      <c r="L22" s="5">
        <f t="shared" si="9"/>
        <v>0</v>
      </c>
      <c r="M22" s="5">
        <f t="shared" si="9"/>
        <v>0</v>
      </c>
      <c r="N22" s="5">
        <f t="shared" si="9"/>
        <v>265000</v>
      </c>
      <c r="O22" s="5">
        <f t="shared" si="9"/>
        <v>12000</v>
      </c>
      <c r="P22" s="5">
        <f t="shared" si="9"/>
        <v>0</v>
      </c>
      <c r="Q22" s="5">
        <f t="shared" si="9"/>
        <v>0</v>
      </c>
      <c r="R22" s="5">
        <f t="shared" si="9"/>
        <v>0</v>
      </c>
      <c r="S22" s="5">
        <f t="shared" si="9"/>
        <v>100000</v>
      </c>
      <c r="T22" s="5">
        <f t="shared" si="9"/>
        <v>0</v>
      </c>
      <c r="U22" s="5">
        <f t="shared" si="9"/>
        <v>720167</v>
      </c>
      <c r="V22" s="5">
        <f t="shared" si="9"/>
        <v>75906</v>
      </c>
      <c r="W22" s="5">
        <f t="shared" si="9"/>
        <v>130159</v>
      </c>
      <c r="X22" s="5">
        <f t="shared" si="9"/>
        <v>286811</v>
      </c>
      <c r="Y22" s="5">
        <f t="shared" si="9"/>
        <v>227291</v>
      </c>
      <c r="Z22" s="5">
        <f t="shared" si="9"/>
        <v>88844</v>
      </c>
      <c r="AA22" s="210"/>
      <c r="AB22" s="225"/>
      <c r="AC22" s="138"/>
      <c r="AD22" s="4">
        <f>J22-U22-Z22</f>
        <v>26499</v>
      </c>
      <c r="AE22" s="110"/>
      <c r="AF22" s="110"/>
      <c r="AG22" s="111"/>
      <c r="AH22" s="111"/>
      <c r="AI22" s="111"/>
      <c r="AJ22" s="111"/>
      <c r="AK22" s="80" t="s">
        <v>287</v>
      </c>
      <c r="AL22" s="111">
        <f>SUM(AN22:AZ22)</f>
        <v>4</v>
      </c>
      <c r="AM22" s="111"/>
      <c r="AN22" s="111">
        <f>COUNTIFS($AE$9:$AE$985,"CT",$AF$9:$AF$985,"GT")</f>
        <v>2</v>
      </c>
      <c r="AO22" s="111">
        <f>COUNTIFS($AF$9:$AF$985,"CT",$AG$9:$AG$985,"NN-TL")</f>
        <v>0</v>
      </c>
      <c r="AP22" s="111">
        <f>COUNTIFS($AF$9:$AF$985,"CT",$AG$9:$AG$985,"GDĐT")</f>
        <v>0</v>
      </c>
      <c r="AQ22" s="111">
        <f>COUNTIFS($AF$9:$AF$985,"CT",$AG$9:$AG$985,"YT")</f>
        <v>0</v>
      </c>
      <c r="AR22" s="111">
        <f>COUNTIFS($AE$9:$AE$985,"CT",$AF$9:$AF$985,"VH")</f>
        <v>1</v>
      </c>
      <c r="AS22" s="111">
        <f>COUNTIFS($AF$9:$AF$985,"CT",$AG$9:$AG$985,"TTTT")</f>
        <v>0</v>
      </c>
      <c r="AT22" s="111">
        <f>COUNTIFS($AE$9:$AE$985,"CT",$AF$9:$AF$985,"XH-CC")</f>
        <v>1</v>
      </c>
      <c r="AU22" s="111">
        <f>COUNTIFS($AF$9:$AF$985,"CT",$AG$9:$AG$985,"NS")</f>
        <v>0</v>
      </c>
      <c r="AV22" s="111">
        <f>COUNTIFS($AF$9:$AF$985,"CT",$AG$9:$AG$985,"TNMT")</f>
        <v>0</v>
      </c>
      <c r="AW22" s="111">
        <f>COUNTIFS($AF$9:$AF$43,"CT",$AG$9:$AG$43,"QLNN")</f>
        <v>0</v>
      </c>
      <c r="AX22" s="111">
        <f>COUNTIFS($AF$9:$AF$985,"CT",$AG$9:$AG$985,"QPAN")</f>
        <v>0</v>
      </c>
      <c r="AY22" s="111">
        <f>COUNTIFS($AF$9:$AF$985,"CT",$AG$9:$AG$985,"PTĐT")</f>
        <v>0</v>
      </c>
      <c r="AZ22" s="111">
        <f>COUNTIFS($AF$9:$AF$985,"CT",$AG$9:$AG$985,"TMDV")</f>
        <v>0</v>
      </c>
      <c r="BA22" s="111"/>
    </row>
    <row r="23" spans="1:53" ht="38.25" customHeight="1">
      <c r="A23" s="11" t="s">
        <v>16</v>
      </c>
      <c r="B23" s="12" t="s">
        <v>56</v>
      </c>
      <c r="C23" s="7"/>
      <c r="D23" s="7"/>
      <c r="E23" s="7"/>
      <c r="F23" s="7"/>
      <c r="G23" s="7"/>
      <c r="H23" s="21">
        <f t="shared" ref="H23:Z23" si="10">SUM(H24:H27)</f>
        <v>780632</v>
      </c>
      <c r="I23" s="21">
        <f t="shared" si="10"/>
        <v>802227</v>
      </c>
      <c r="J23" s="21">
        <f t="shared" si="10"/>
        <v>445000</v>
      </c>
      <c r="K23" s="21">
        <f t="shared" si="10"/>
        <v>366000</v>
      </c>
      <c r="L23" s="21">
        <f t="shared" si="10"/>
        <v>0</v>
      </c>
      <c r="M23" s="21">
        <f t="shared" si="10"/>
        <v>0</v>
      </c>
      <c r="N23" s="21">
        <f t="shared" si="10"/>
        <v>0</v>
      </c>
      <c r="O23" s="21">
        <f t="shared" si="10"/>
        <v>0</v>
      </c>
      <c r="P23" s="21">
        <f t="shared" si="10"/>
        <v>0</v>
      </c>
      <c r="Q23" s="21">
        <f t="shared" si="10"/>
        <v>0</v>
      </c>
      <c r="R23" s="21">
        <f t="shared" si="10"/>
        <v>0</v>
      </c>
      <c r="S23" s="21">
        <f t="shared" si="10"/>
        <v>100000</v>
      </c>
      <c r="T23" s="21">
        <f t="shared" si="10"/>
        <v>0</v>
      </c>
      <c r="U23" s="21">
        <f t="shared" si="10"/>
        <v>382417</v>
      </c>
      <c r="V23" s="21">
        <f t="shared" si="10"/>
        <v>11906</v>
      </c>
      <c r="W23" s="21">
        <f t="shared" si="10"/>
        <v>50959</v>
      </c>
      <c r="X23" s="21">
        <f t="shared" si="10"/>
        <v>206261</v>
      </c>
      <c r="Y23" s="21">
        <f t="shared" si="10"/>
        <v>113291</v>
      </c>
      <c r="Z23" s="21">
        <f t="shared" si="10"/>
        <v>60284</v>
      </c>
      <c r="AA23" s="211"/>
      <c r="AB23" s="272"/>
      <c r="AC23" s="250"/>
      <c r="AD23" s="4">
        <f t="shared" ref="AD23:AD32" si="11">J23-U23-Z23</f>
        <v>2299</v>
      </c>
      <c r="AE23" s="110"/>
      <c r="AF23" s="110"/>
      <c r="AG23" s="111"/>
      <c r="AH23" s="111"/>
      <c r="AI23" s="111"/>
      <c r="AJ23" s="111"/>
      <c r="AK23" s="79" t="s">
        <v>288</v>
      </c>
      <c r="AL23" s="111">
        <f>SUM(AN23:AZ23)</f>
        <v>2</v>
      </c>
      <c r="AM23" s="111"/>
      <c r="AN23" s="111">
        <f>COUNTIFS($AE$9:$AE$985,"KCM",$AF$9:$AF$985,"GT")</f>
        <v>2</v>
      </c>
      <c r="AO23" s="111">
        <f>COUNTIFS($AF$9:$AF$985,"KCM",$AG$9:$AG$985,"NN-TL")</f>
        <v>0</v>
      </c>
      <c r="AP23" s="111">
        <f>COUNTIFS($AF$9:$AF$985,"KCM",$AG$9:$AG$985,"GDĐT")</f>
        <v>0</v>
      </c>
      <c r="AQ23" s="111">
        <f>COUNTIFS($AF$9:$AF$985,"KCM",$AG$9:$AG$985,"YT")</f>
        <v>0</v>
      </c>
      <c r="AR23" s="111">
        <f>COUNTIFS($AE$9:$AE$985,"KCM",$AF$9:$AF$985,"VH")</f>
        <v>0</v>
      </c>
      <c r="AS23" s="111">
        <f>COUNTIFS($AF$9:$AF$985,"KCM",$AG$9:$AG$985,"TTTT")</f>
        <v>0</v>
      </c>
      <c r="AT23" s="111">
        <f>COUNTIFS($AF$9:$AF$985,"KCM",$AG$9:$AG$985,"XH-CC")</f>
        <v>0</v>
      </c>
      <c r="AU23" s="111">
        <f>COUNTIFS($AF$9:$AF$985,"KCM",$AG$9:$AG$985,"NS")</f>
        <v>0</v>
      </c>
      <c r="AV23" s="111">
        <f>COUNTIFS($AF$9:$AF$985,"KCM",$AG$9:$AG$985,"TNMT")</f>
        <v>0</v>
      </c>
      <c r="AW23" s="111">
        <f>COUNTIFS($AF$9:$AF$985,"KCM",$AG$9:$AG$985,"QLNN")</f>
        <v>0</v>
      </c>
      <c r="AX23" s="111">
        <f>COUNTIFS($AF$9:$AF$985,"KCM",$AG$9:$AG$985,"QPAN")</f>
        <v>0</v>
      </c>
      <c r="AY23" s="111">
        <f>COUNTIFS($AF$9:$AF$985,"KCM",$AG$9:$AG$985,"PTĐT")</f>
        <v>0</v>
      </c>
      <c r="AZ23" s="111">
        <f>COUNTIFS($AF$9:$AF$985,"KCM",$AG$9:$AG$985,"TMDV")</f>
        <v>0</v>
      </c>
      <c r="BA23" s="111"/>
    </row>
    <row r="24" spans="1:53" ht="84.75" customHeight="1">
      <c r="A24" s="7">
        <v>1</v>
      </c>
      <c r="B24" s="66" t="s">
        <v>22</v>
      </c>
      <c r="C24" s="7" t="s">
        <v>17</v>
      </c>
      <c r="D24" s="7" t="s">
        <v>21</v>
      </c>
      <c r="E24" s="212" t="s">
        <v>23</v>
      </c>
      <c r="F24" s="67" t="s">
        <v>789</v>
      </c>
      <c r="G24" s="215" t="s">
        <v>968</v>
      </c>
      <c r="H24" s="112">
        <v>186493</v>
      </c>
      <c r="I24" s="112">
        <v>215847</v>
      </c>
      <c r="J24" s="25">
        <f>SUM(K24,L24:S24)-21000</f>
        <v>119000</v>
      </c>
      <c r="K24" s="25">
        <v>40000</v>
      </c>
      <c r="L24" s="25"/>
      <c r="M24" s="25"/>
      <c r="N24" s="25"/>
      <c r="O24" s="25"/>
      <c r="P24" s="25"/>
      <c r="Q24" s="25"/>
      <c r="R24" s="25"/>
      <c r="S24" s="25">
        <v>100000</v>
      </c>
      <c r="T24" s="25"/>
      <c r="U24" s="25">
        <f t="shared" ref="U24:U27" si="12">SUM(V24:Y24)</f>
        <v>85000</v>
      </c>
      <c r="V24" s="25">
        <v>11906</v>
      </c>
      <c r="W24" s="22">
        <v>25959</v>
      </c>
      <c r="X24" s="81">
        <v>2135</v>
      </c>
      <c r="Y24" s="82">
        <v>45000</v>
      </c>
      <c r="Z24" s="53">
        <f>34000-352</f>
        <v>33648</v>
      </c>
      <c r="AA24" s="158"/>
      <c r="AB24" s="269" t="s">
        <v>913</v>
      </c>
      <c r="AC24" s="263" t="s">
        <v>484</v>
      </c>
      <c r="AD24" s="4">
        <f t="shared" si="11"/>
        <v>352</v>
      </c>
      <c r="AE24" s="8" t="s">
        <v>289</v>
      </c>
      <c r="AF24" s="8" t="s">
        <v>291</v>
      </c>
      <c r="AG24" s="4">
        <f>J24</f>
        <v>119000</v>
      </c>
      <c r="AH24" s="4" t="s">
        <v>376</v>
      </c>
      <c r="AI24" s="4"/>
      <c r="AJ24" s="4"/>
    </row>
    <row r="25" spans="1:53" ht="75" customHeight="1">
      <c r="A25" s="7">
        <f>+A24+1</f>
        <v>2</v>
      </c>
      <c r="B25" s="66" t="s">
        <v>42</v>
      </c>
      <c r="C25" s="2" t="s">
        <v>635</v>
      </c>
      <c r="D25" s="2" t="s">
        <v>21</v>
      </c>
      <c r="E25" s="7" t="s">
        <v>636</v>
      </c>
      <c r="F25" s="7" t="s">
        <v>101</v>
      </c>
      <c r="G25" s="216" t="s">
        <v>637</v>
      </c>
      <c r="H25" s="115">
        <v>492380</v>
      </c>
      <c r="I25" s="115">
        <v>492380</v>
      </c>
      <c r="J25" s="25">
        <f t="shared" ref="J25:J27" si="13">SUM(K25,L25:S25)</f>
        <v>240000</v>
      </c>
      <c r="K25" s="112">
        <v>240000</v>
      </c>
      <c r="L25" s="25"/>
      <c r="M25" s="25"/>
      <c r="N25" s="25"/>
      <c r="O25" s="25"/>
      <c r="P25" s="25"/>
      <c r="Q25" s="25"/>
      <c r="R25" s="25"/>
      <c r="S25" s="25"/>
      <c r="T25" s="25"/>
      <c r="U25" s="25">
        <f t="shared" si="12"/>
        <v>220000</v>
      </c>
      <c r="V25" s="112"/>
      <c r="W25" s="25"/>
      <c r="X25" s="81">
        <v>181854</v>
      </c>
      <c r="Y25" s="82">
        <v>38146</v>
      </c>
      <c r="Z25" s="53">
        <v>20000</v>
      </c>
      <c r="AA25" s="217"/>
      <c r="AB25" s="274" t="s">
        <v>881</v>
      </c>
      <c r="AC25" s="136"/>
      <c r="AD25" s="4">
        <f t="shared" si="11"/>
        <v>0</v>
      </c>
      <c r="AG25" s="4"/>
      <c r="AH25" s="4"/>
      <c r="AI25" s="4"/>
      <c r="AJ25" s="4"/>
    </row>
    <row r="26" spans="1:53" ht="75" customHeight="1">
      <c r="A26" s="7">
        <f t="shared" ref="A26:A27" si="14">+A25+1</f>
        <v>3</v>
      </c>
      <c r="B26" s="3" t="s">
        <v>46</v>
      </c>
      <c r="C26" s="67" t="s">
        <v>267</v>
      </c>
      <c r="D26" s="67" t="s">
        <v>19</v>
      </c>
      <c r="E26" s="67" t="s">
        <v>47</v>
      </c>
      <c r="F26" s="67" t="s">
        <v>39</v>
      </c>
      <c r="G26" s="114" t="s">
        <v>642</v>
      </c>
      <c r="H26" s="26">
        <v>41603</v>
      </c>
      <c r="I26" s="26">
        <v>38000</v>
      </c>
      <c r="J26" s="25">
        <f t="shared" si="13"/>
        <v>35000</v>
      </c>
      <c r="K26" s="26">
        <v>35000</v>
      </c>
      <c r="L26" s="25"/>
      <c r="M26" s="25"/>
      <c r="N26" s="25"/>
      <c r="O26" s="25"/>
      <c r="P26" s="25"/>
      <c r="Q26" s="25"/>
      <c r="R26" s="25"/>
      <c r="S26" s="25"/>
      <c r="T26" s="25"/>
      <c r="U26" s="25">
        <f t="shared" si="12"/>
        <v>32417</v>
      </c>
      <c r="V26" s="24"/>
      <c r="W26" s="22">
        <v>25000</v>
      </c>
      <c r="X26" s="81">
        <v>7272</v>
      </c>
      <c r="Y26" s="82">
        <v>145</v>
      </c>
      <c r="Z26" s="53">
        <v>636</v>
      </c>
      <c r="AA26" s="217" t="s">
        <v>329</v>
      </c>
      <c r="AB26" s="274" t="s">
        <v>881</v>
      </c>
      <c r="AC26" s="136"/>
      <c r="AD26" s="4">
        <f t="shared" si="11"/>
        <v>1947</v>
      </c>
      <c r="AE26" s="8" t="s">
        <v>290</v>
      </c>
      <c r="AF26" s="8" t="s">
        <v>291</v>
      </c>
      <c r="AG26" s="4">
        <f>J26</f>
        <v>35000</v>
      </c>
      <c r="AH26" s="4" t="s">
        <v>378</v>
      </c>
      <c r="AI26" s="4"/>
      <c r="AJ26" s="4"/>
    </row>
    <row r="27" spans="1:53" ht="75" customHeight="1">
      <c r="A27" s="7">
        <f t="shared" si="14"/>
        <v>4</v>
      </c>
      <c r="B27" s="3" t="s">
        <v>638</v>
      </c>
      <c r="C27" s="67" t="s">
        <v>639</v>
      </c>
      <c r="D27" s="67" t="s">
        <v>21</v>
      </c>
      <c r="E27" s="67" t="s">
        <v>640</v>
      </c>
      <c r="F27" s="67" t="s">
        <v>39</v>
      </c>
      <c r="G27" s="134" t="s">
        <v>641</v>
      </c>
      <c r="H27" s="26">
        <v>60156</v>
      </c>
      <c r="I27" s="26">
        <v>56000</v>
      </c>
      <c r="J27" s="25">
        <f t="shared" si="13"/>
        <v>51000</v>
      </c>
      <c r="K27" s="26">
        <v>51000</v>
      </c>
      <c r="L27" s="25"/>
      <c r="M27" s="25"/>
      <c r="N27" s="25"/>
      <c r="O27" s="25"/>
      <c r="P27" s="25"/>
      <c r="Q27" s="25"/>
      <c r="R27" s="25"/>
      <c r="S27" s="25"/>
      <c r="T27" s="25"/>
      <c r="U27" s="25">
        <f t="shared" si="12"/>
        <v>45000</v>
      </c>
      <c r="V27" s="24"/>
      <c r="W27" s="25"/>
      <c r="X27" s="81">
        <v>15000</v>
      </c>
      <c r="Y27" s="82">
        <v>30000</v>
      </c>
      <c r="Z27" s="53">
        <v>6000</v>
      </c>
      <c r="AA27" s="217"/>
      <c r="AB27" s="274" t="s">
        <v>881</v>
      </c>
      <c r="AC27" s="136"/>
      <c r="AD27" s="4">
        <f t="shared" si="11"/>
        <v>0</v>
      </c>
      <c r="AG27" s="4"/>
      <c r="AH27" s="4"/>
      <c r="AI27" s="4"/>
      <c r="AJ27" s="4"/>
    </row>
    <row r="28" spans="1:53" ht="38.25" customHeight="1">
      <c r="A28" s="11" t="s">
        <v>24</v>
      </c>
      <c r="B28" s="12" t="s">
        <v>57</v>
      </c>
      <c r="C28" s="7"/>
      <c r="D28" s="7"/>
      <c r="E28" s="7"/>
      <c r="F28" s="7"/>
      <c r="G28" s="7"/>
      <c r="H28" s="21">
        <f t="shared" ref="H28:Z28" si="15">SUM(H29:H30)</f>
        <v>363219</v>
      </c>
      <c r="I28" s="21">
        <f t="shared" si="15"/>
        <v>359219</v>
      </c>
      <c r="J28" s="21">
        <f t="shared" si="15"/>
        <v>352000</v>
      </c>
      <c r="K28" s="21">
        <f t="shared" si="15"/>
        <v>75000</v>
      </c>
      <c r="L28" s="21">
        <f t="shared" si="15"/>
        <v>0</v>
      </c>
      <c r="M28" s="21">
        <f t="shared" si="15"/>
        <v>0</v>
      </c>
      <c r="N28" s="21">
        <f t="shared" si="15"/>
        <v>265000</v>
      </c>
      <c r="O28" s="21">
        <f t="shared" si="15"/>
        <v>12000</v>
      </c>
      <c r="P28" s="21">
        <f t="shared" si="15"/>
        <v>0</v>
      </c>
      <c r="Q28" s="21">
        <f t="shared" si="15"/>
        <v>0</v>
      </c>
      <c r="R28" s="21">
        <f t="shared" si="15"/>
        <v>0</v>
      </c>
      <c r="S28" s="21">
        <f t="shared" si="15"/>
        <v>0</v>
      </c>
      <c r="T28" s="21">
        <f t="shared" si="15"/>
        <v>0</v>
      </c>
      <c r="U28" s="21">
        <f t="shared" si="15"/>
        <v>300000</v>
      </c>
      <c r="V28" s="21">
        <f t="shared" si="15"/>
        <v>53000</v>
      </c>
      <c r="W28" s="21">
        <f t="shared" si="15"/>
        <v>60000</v>
      </c>
      <c r="X28" s="21">
        <f t="shared" si="15"/>
        <v>73000</v>
      </c>
      <c r="Y28" s="21">
        <f t="shared" si="15"/>
        <v>114000</v>
      </c>
      <c r="Z28" s="21">
        <f t="shared" si="15"/>
        <v>27800</v>
      </c>
      <c r="AA28" s="211"/>
      <c r="AB28" s="272"/>
      <c r="AC28" s="250"/>
      <c r="AD28" s="4">
        <f t="shared" si="11"/>
        <v>24200</v>
      </c>
    </row>
    <row r="29" spans="1:53" ht="84.75" customHeight="1">
      <c r="A29" s="7">
        <v>1</v>
      </c>
      <c r="B29" s="66" t="s">
        <v>519</v>
      </c>
      <c r="C29" s="7" t="s">
        <v>520</v>
      </c>
      <c r="D29" s="7" t="s">
        <v>19</v>
      </c>
      <c r="E29" s="7" t="s">
        <v>521</v>
      </c>
      <c r="F29" s="7" t="s">
        <v>39</v>
      </c>
      <c r="G29" s="7" t="s">
        <v>522</v>
      </c>
      <c r="H29" s="112">
        <v>91000</v>
      </c>
      <c r="I29" s="112">
        <v>87000</v>
      </c>
      <c r="J29" s="25">
        <f t="shared" ref="J29" si="16">SUM(K29,L29:S29)</f>
        <v>87000</v>
      </c>
      <c r="K29" s="112">
        <v>75000</v>
      </c>
      <c r="L29" s="26"/>
      <c r="M29" s="26"/>
      <c r="N29" s="26"/>
      <c r="O29" s="26">
        <v>12000</v>
      </c>
      <c r="P29" s="26"/>
      <c r="Q29" s="26"/>
      <c r="R29" s="26"/>
      <c r="S29" s="26"/>
      <c r="T29" s="26"/>
      <c r="U29" s="25">
        <f t="shared" ref="U29:U30" si="17">SUM(V29:Y29)</f>
        <v>85000</v>
      </c>
      <c r="V29" s="112">
        <v>53000</v>
      </c>
      <c r="W29" s="139">
        <v>15000</v>
      </c>
      <c r="X29" s="81">
        <v>7000</v>
      </c>
      <c r="Y29" s="82">
        <v>10000</v>
      </c>
      <c r="Z29" s="76">
        <v>2000</v>
      </c>
      <c r="AA29" s="214"/>
      <c r="AB29" s="273"/>
      <c r="AC29" s="251"/>
      <c r="AD29" s="4">
        <f t="shared" si="11"/>
        <v>0</v>
      </c>
      <c r="AG29" s="4"/>
      <c r="AH29" s="4"/>
      <c r="AI29" s="4"/>
      <c r="AJ29" s="4"/>
    </row>
    <row r="30" spans="1:53" ht="69" customHeight="1">
      <c r="A30" s="7">
        <v>2</v>
      </c>
      <c r="B30" s="66" t="s">
        <v>660</v>
      </c>
      <c r="C30" s="7" t="s">
        <v>567</v>
      </c>
      <c r="D30" s="7" t="s">
        <v>21</v>
      </c>
      <c r="E30" s="7" t="s">
        <v>661</v>
      </c>
      <c r="F30" s="7" t="s">
        <v>39</v>
      </c>
      <c r="G30" s="7" t="s">
        <v>662</v>
      </c>
      <c r="H30" s="112">
        <v>272219</v>
      </c>
      <c r="I30" s="112">
        <v>272219</v>
      </c>
      <c r="J30" s="25">
        <f t="shared" ref="J30" si="18">SUM(K30,L30:S30)</f>
        <v>265000</v>
      </c>
      <c r="K30" s="112"/>
      <c r="L30" s="112"/>
      <c r="M30" s="112"/>
      <c r="N30" s="112">
        <v>265000</v>
      </c>
      <c r="O30" s="112"/>
      <c r="P30" s="112"/>
      <c r="Q30" s="112"/>
      <c r="R30" s="112"/>
      <c r="S30" s="112"/>
      <c r="T30" s="112"/>
      <c r="U30" s="25">
        <f t="shared" si="17"/>
        <v>215000</v>
      </c>
      <c r="V30" s="112"/>
      <c r="W30" s="139">
        <v>45000</v>
      </c>
      <c r="X30" s="81">
        <v>66000</v>
      </c>
      <c r="Y30" s="82">
        <v>104000</v>
      </c>
      <c r="Z30" s="222">
        <v>25800</v>
      </c>
      <c r="AA30" s="66"/>
      <c r="AB30" s="276" t="s">
        <v>882</v>
      </c>
      <c r="AD30" s="4">
        <f t="shared" si="11"/>
        <v>24200</v>
      </c>
      <c r="AF30" s="8" t="s">
        <v>290</v>
      </c>
      <c r="AG30" s="8" t="s">
        <v>278</v>
      </c>
      <c r="AH30" s="4">
        <f>J30</f>
        <v>265000</v>
      </c>
      <c r="AI30" s="4"/>
      <c r="AJ30" s="4"/>
      <c r="AK30" s="4"/>
    </row>
    <row r="31" spans="1:53" ht="38.25" customHeight="1">
      <c r="A31" s="11" t="s">
        <v>29</v>
      </c>
      <c r="B31" s="12" t="s">
        <v>30</v>
      </c>
      <c r="C31" s="7"/>
      <c r="D31" s="7"/>
      <c r="E31" s="7"/>
      <c r="F31" s="7"/>
      <c r="G31" s="7"/>
      <c r="H31" s="21">
        <f>SUM(H32)</f>
        <v>79984</v>
      </c>
      <c r="I31" s="21">
        <f t="shared" ref="I31:Y31" si="19">SUM(I32)</f>
        <v>79984</v>
      </c>
      <c r="J31" s="21">
        <f t="shared" si="19"/>
        <v>38510</v>
      </c>
      <c r="K31" s="21">
        <f t="shared" si="19"/>
        <v>40000</v>
      </c>
      <c r="L31" s="21">
        <f t="shared" si="19"/>
        <v>0</v>
      </c>
      <c r="M31" s="21">
        <f t="shared" si="19"/>
        <v>0</v>
      </c>
      <c r="N31" s="21">
        <f t="shared" si="19"/>
        <v>0</v>
      </c>
      <c r="O31" s="21">
        <f t="shared" si="19"/>
        <v>0</v>
      </c>
      <c r="P31" s="21">
        <f t="shared" si="19"/>
        <v>0</v>
      </c>
      <c r="Q31" s="21">
        <f t="shared" si="19"/>
        <v>0</v>
      </c>
      <c r="R31" s="21">
        <f t="shared" si="19"/>
        <v>0</v>
      </c>
      <c r="S31" s="21">
        <f t="shared" si="19"/>
        <v>0</v>
      </c>
      <c r="T31" s="21">
        <f t="shared" si="19"/>
        <v>0</v>
      </c>
      <c r="U31" s="21">
        <f t="shared" si="19"/>
        <v>37750</v>
      </c>
      <c r="V31" s="21">
        <f t="shared" si="19"/>
        <v>11000</v>
      </c>
      <c r="W31" s="21">
        <f t="shared" si="19"/>
        <v>19200</v>
      </c>
      <c r="X31" s="21">
        <f t="shared" si="19"/>
        <v>7550</v>
      </c>
      <c r="Y31" s="21">
        <f t="shared" si="19"/>
        <v>0</v>
      </c>
      <c r="Z31" s="21">
        <f>SUM(Z32)</f>
        <v>760</v>
      </c>
      <c r="AA31" s="211"/>
      <c r="AB31" s="272"/>
      <c r="AC31" s="250"/>
      <c r="AD31" s="4">
        <f t="shared" si="11"/>
        <v>0</v>
      </c>
    </row>
    <row r="32" spans="1:53" ht="86.25" customHeight="1">
      <c r="A32" s="7">
        <v>1</v>
      </c>
      <c r="B32" s="66" t="s">
        <v>31</v>
      </c>
      <c r="C32" s="7" t="s">
        <v>17</v>
      </c>
      <c r="D32" s="7" t="s">
        <v>19</v>
      </c>
      <c r="E32" s="212" t="s">
        <v>32</v>
      </c>
      <c r="F32" s="67" t="s">
        <v>20</v>
      </c>
      <c r="G32" s="223" t="s">
        <v>33</v>
      </c>
      <c r="H32" s="139">
        <v>79984</v>
      </c>
      <c r="I32" s="139">
        <v>79984</v>
      </c>
      <c r="J32" s="25">
        <f>SUM(K32,L32:S32)-1490</f>
        <v>38510</v>
      </c>
      <c r="K32" s="25">
        <v>40000</v>
      </c>
      <c r="L32" s="25"/>
      <c r="M32" s="25"/>
      <c r="N32" s="25"/>
      <c r="O32" s="25"/>
      <c r="P32" s="25"/>
      <c r="Q32" s="25"/>
      <c r="R32" s="25"/>
      <c r="S32" s="25"/>
      <c r="T32" s="25"/>
      <c r="U32" s="25">
        <f>SUM(V32:Y32)</f>
        <v>37750</v>
      </c>
      <c r="V32" s="25">
        <v>11000</v>
      </c>
      <c r="W32" s="22">
        <f>29000-9800</f>
        <v>19200</v>
      </c>
      <c r="X32" s="81">
        <v>7550</v>
      </c>
      <c r="Y32" s="81"/>
      <c r="Z32" s="53">
        <v>760</v>
      </c>
      <c r="AA32" s="158"/>
      <c r="AB32" s="269" t="s">
        <v>920</v>
      </c>
      <c r="AC32" s="263" t="s">
        <v>483</v>
      </c>
      <c r="AD32" s="4">
        <f t="shared" si="11"/>
        <v>0</v>
      </c>
      <c r="AE32" s="8" t="s">
        <v>289</v>
      </c>
      <c r="AF32" s="8" t="s">
        <v>280</v>
      </c>
      <c r="AG32" s="4">
        <f>J32</f>
        <v>38510</v>
      </c>
      <c r="AH32" s="4"/>
      <c r="AI32" s="4"/>
      <c r="AJ32" s="4"/>
    </row>
  </sheetData>
  <autoFilter ref="A9:BA21"/>
  <mergeCells count="22">
    <mergeCell ref="G7:G8"/>
    <mergeCell ref="A3:AA3"/>
    <mergeCell ref="H7:I7"/>
    <mergeCell ref="L7:T7"/>
    <mergeCell ref="Z6:Z8"/>
    <mergeCell ref="J6:J8"/>
    <mergeCell ref="AB6:AB8"/>
    <mergeCell ref="A1:AA1"/>
    <mergeCell ref="A2:AA2"/>
    <mergeCell ref="A4:AA4"/>
    <mergeCell ref="U7:U8"/>
    <mergeCell ref="K7:K8"/>
    <mergeCell ref="A6:A8"/>
    <mergeCell ref="B6:B8"/>
    <mergeCell ref="C6:C8"/>
    <mergeCell ref="D6:D8"/>
    <mergeCell ref="E6:E8"/>
    <mergeCell ref="F6:F8"/>
    <mergeCell ref="G6:I6"/>
    <mergeCell ref="AA6:AA8"/>
    <mergeCell ref="U6:Y6"/>
    <mergeCell ref="V7:Y7"/>
  </mergeCells>
  <printOptions horizontalCentered="1"/>
  <pageMargins left="0.39370078740157499" right="0.39370078740157499" top="0.39370078740157499" bottom="0.39370078740157499" header="0.196850393700787" footer="0.196850393700787"/>
  <pageSetup paperSize="9" scale="46" fitToHeight="0" orientation="landscape" r:id="rId1"/>
  <headerFooter alignWithMargins="0">
    <oddFooter>&amp;C&amp;"Times New Roman,thường"&amp;11&amp;P/&amp;N</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N15"/>
  <sheetViews>
    <sheetView view="pageBreakPreview" zoomScale="50" zoomScaleNormal="70" zoomScaleSheetLayoutView="50" workbookViewId="0">
      <selection activeCell="G15" sqref="G15"/>
    </sheetView>
  </sheetViews>
  <sheetFormatPr defaultColWidth="9.109375" defaultRowHeight="16.8"/>
  <cols>
    <col min="1" max="1" width="8.6640625" style="8" customWidth="1"/>
    <col min="2" max="2" width="50.6640625" style="8" customWidth="1"/>
    <col min="3" max="6" width="20.6640625" style="8" customWidth="1"/>
    <col min="7" max="7" width="22.6640625" style="8" customWidth="1"/>
    <col min="8" max="9" width="15.6640625" style="8" customWidth="1"/>
    <col min="10" max="10" width="20.6640625" style="8" customWidth="1"/>
    <col min="11" max="12" width="15.6640625" style="8" hidden="1" customWidth="1"/>
    <col min="13" max="13" width="15.6640625" style="8" customWidth="1"/>
    <col min="14" max="16" width="15.6640625" style="8" hidden="1" customWidth="1"/>
    <col min="17" max="18" width="15.6640625" style="8" customWidth="1"/>
    <col min="19" max="19" width="40.6640625" style="8" customWidth="1"/>
    <col min="20" max="20" width="19.109375" style="8" customWidth="1"/>
    <col min="21" max="21" width="14.88671875" style="8" customWidth="1"/>
    <col min="22" max="22" width="13.44140625" style="8" customWidth="1"/>
    <col min="23" max="23" width="17.88671875" style="8" customWidth="1"/>
    <col min="24" max="24" width="19.33203125" style="8" customWidth="1"/>
    <col min="25" max="25" width="17.33203125" style="8" customWidth="1"/>
    <col min="26" max="26" width="14.109375" style="8" customWidth="1"/>
    <col min="27" max="32" width="9.109375" style="8"/>
    <col min="33" max="34" width="10" style="8" bestFit="1" customWidth="1"/>
    <col min="35" max="39" width="9.109375" style="8"/>
    <col min="40" max="40" width="10.6640625" style="8" bestFit="1" customWidth="1"/>
    <col min="41" max="16384" width="9.109375" style="8"/>
  </cols>
  <sheetData>
    <row r="1" spans="1:40" ht="39.9" customHeight="1">
      <c r="A1" s="567" t="s">
        <v>260</v>
      </c>
      <c r="B1" s="567"/>
      <c r="C1" s="567"/>
      <c r="D1" s="567"/>
      <c r="E1" s="567"/>
      <c r="F1" s="567"/>
      <c r="G1" s="567"/>
      <c r="H1" s="567"/>
      <c r="I1" s="567"/>
      <c r="J1" s="567"/>
      <c r="K1" s="567"/>
      <c r="L1" s="567"/>
      <c r="M1" s="567"/>
      <c r="N1" s="567"/>
      <c r="O1" s="567"/>
      <c r="P1" s="567"/>
      <c r="Q1" s="567"/>
      <c r="R1" s="567"/>
      <c r="S1" s="567"/>
    </row>
    <row r="2" spans="1:40" ht="35.1" customHeight="1">
      <c r="A2" s="568" t="s">
        <v>724</v>
      </c>
      <c r="B2" s="568"/>
      <c r="C2" s="568"/>
      <c r="D2" s="568"/>
      <c r="E2" s="568"/>
      <c r="F2" s="568"/>
      <c r="G2" s="568"/>
      <c r="H2" s="568"/>
      <c r="I2" s="568"/>
      <c r="J2" s="568"/>
      <c r="K2" s="568"/>
      <c r="L2" s="568"/>
      <c r="M2" s="568"/>
      <c r="N2" s="568"/>
      <c r="O2" s="568"/>
      <c r="P2" s="568"/>
      <c r="Q2" s="568"/>
      <c r="R2" s="568"/>
      <c r="S2" s="568"/>
    </row>
    <row r="3" spans="1:40" ht="35.1" customHeight="1">
      <c r="A3" s="568" t="s">
        <v>316</v>
      </c>
      <c r="B3" s="568"/>
      <c r="C3" s="568"/>
      <c r="D3" s="568"/>
      <c r="E3" s="568"/>
      <c r="F3" s="568"/>
      <c r="G3" s="568"/>
      <c r="H3" s="568"/>
      <c r="I3" s="568"/>
      <c r="J3" s="568"/>
      <c r="K3" s="568"/>
      <c r="L3" s="568"/>
      <c r="M3" s="568"/>
      <c r="N3" s="568"/>
      <c r="O3" s="568"/>
      <c r="P3" s="568"/>
      <c r="Q3" s="568"/>
      <c r="R3" s="568"/>
      <c r="S3" s="568"/>
    </row>
    <row r="4" spans="1:40" ht="39.9" customHeight="1">
      <c r="A4" s="569" t="str">
        <f>'5. ĐPTTH'!A4:AA4</f>
        <v>(Ban hành kèm theo Quyết định số: 2631/QĐ-UBND ngày 19/12 /2024 của Ủy ban nhân dân tỉnh)</v>
      </c>
      <c r="B4" s="569"/>
      <c r="C4" s="569"/>
      <c r="D4" s="569"/>
      <c r="E4" s="569"/>
      <c r="F4" s="569"/>
      <c r="G4" s="569"/>
      <c r="H4" s="569"/>
      <c r="I4" s="569"/>
      <c r="J4" s="569"/>
      <c r="K4" s="569"/>
      <c r="L4" s="569"/>
      <c r="M4" s="569"/>
      <c r="N4" s="569"/>
      <c r="O4" s="569"/>
      <c r="P4" s="569"/>
      <c r="Q4" s="569"/>
      <c r="R4" s="569"/>
      <c r="S4" s="569"/>
    </row>
    <row r="5" spans="1:40" ht="33.75" customHeight="1">
      <c r="K5" s="9"/>
      <c r="L5" s="9"/>
      <c r="M5" s="9"/>
      <c r="N5" s="9"/>
      <c r="O5" s="9"/>
      <c r="P5" s="9"/>
      <c r="Q5" s="9"/>
      <c r="R5" s="9"/>
      <c r="S5" s="9" t="s">
        <v>0</v>
      </c>
    </row>
    <row r="6" spans="1:40" ht="60" customHeight="1">
      <c r="A6" s="570" t="s">
        <v>1</v>
      </c>
      <c r="B6" s="570" t="s">
        <v>2</v>
      </c>
      <c r="C6" s="570" t="s">
        <v>3</v>
      </c>
      <c r="D6" s="576" t="s">
        <v>321</v>
      </c>
      <c r="E6" s="563" t="s">
        <v>4</v>
      </c>
      <c r="F6" s="563" t="s">
        <v>5</v>
      </c>
      <c r="G6" s="563" t="s">
        <v>600</v>
      </c>
      <c r="H6" s="563"/>
      <c r="I6" s="563"/>
      <c r="J6" s="573" t="s">
        <v>850</v>
      </c>
      <c r="K6" s="224"/>
      <c r="L6" s="225"/>
      <c r="M6" s="536" t="s">
        <v>849</v>
      </c>
      <c r="N6" s="537"/>
      <c r="O6" s="537"/>
      <c r="P6" s="537"/>
      <c r="Q6" s="537"/>
      <c r="R6" s="547" t="s">
        <v>678</v>
      </c>
      <c r="S6" s="563" t="s">
        <v>6</v>
      </c>
      <c r="T6" s="10"/>
      <c r="U6" s="31" t="s">
        <v>269</v>
      </c>
      <c r="V6" s="31" t="s">
        <v>270</v>
      </c>
      <c r="W6" s="32" t="s">
        <v>271</v>
      </c>
      <c r="X6" s="32"/>
      <c r="Y6" s="32" t="s">
        <v>272</v>
      </c>
      <c r="Z6" s="31" t="s">
        <v>273</v>
      </c>
      <c r="AA6" s="31" t="s">
        <v>274</v>
      </c>
      <c r="AB6" s="31" t="s">
        <v>275</v>
      </c>
      <c r="AC6" s="31" t="s">
        <v>276</v>
      </c>
      <c r="AD6" s="31" t="s">
        <v>277</v>
      </c>
      <c r="AE6" s="31" t="s">
        <v>278</v>
      </c>
      <c r="AF6" s="31" t="s">
        <v>279</v>
      </c>
      <c r="AG6" s="31" t="s">
        <v>280</v>
      </c>
      <c r="AH6" s="31" t="s">
        <v>281</v>
      </c>
      <c r="AI6" s="31" t="s">
        <v>282</v>
      </c>
      <c r="AJ6" s="31" t="s">
        <v>283</v>
      </c>
      <c r="AK6" s="31" t="s">
        <v>284</v>
      </c>
      <c r="AL6" s="31" t="s">
        <v>285</v>
      </c>
      <c r="AM6" s="31" t="s">
        <v>286</v>
      </c>
      <c r="AN6" s="32"/>
    </row>
    <row r="7" spans="1:40" ht="60" customHeight="1">
      <c r="A7" s="571"/>
      <c r="B7" s="571"/>
      <c r="C7" s="571"/>
      <c r="D7" s="576"/>
      <c r="E7" s="563"/>
      <c r="F7" s="563"/>
      <c r="G7" s="563" t="s">
        <v>7</v>
      </c>
      <c r="H7" s="563" t="s">
        <v>8</v>
      </c>
      <c r="I7" s="563"/>
      <c r="J7" s="574"/>
      <c r="K7" s="543" t="s">
        <v>396</v>
      </c>
      <c r="L7" s="543"/>
      <c r="M7" s="563" t="s">
        <v>9</v>
      </c>
      <c r="N7" s="536" t="s">
        <v>396</v>
      </c>
      <c r="O7" s="537"/>
      <c r="P7" s="537"/>
      <c r="Q7" s="537"/>
      <c r="R7" s="551"/>
      <c r="S7" s="563"/>
      <c r="T7" s="10"/>
      <c r="U7" s="31"/>
      <c r="V7" s="31"/>
      <c r="W7" s="32"/>
      <c r="X7" s="33" t="s">
        <v>287</v>
      </c>
      <c r="Y7" s="32">
        <f>COUNTIF(U9:U995,"CT")</f>
        <v>0</v>
      </c>
      <c r="Z7" s="58">
        <f>SUMIF(U9:U995,"CT",W9:W995)</f>
        <v>0</v>
      </c>
      <c r="AA7" s="58"/>
      <c r="AB7" s="58"/>
      <c r="AC7" s="58"/>
      <c r="AD7" s="58"/>
      <c r="AE7" s="58"/>
      <c r="AF7" s="58"/>
      <c r="AG7" s="58"/>
      <c r="AH7" s="58"/>
      <c r="AI7" s="58"/>
      <c r="AJ7" s="58"/>
      <c r="AK7" s="58"/>
      <c r="AL7" s="58"/>
      <c r="AM7" s="58"/>
      <c r="AN7" s="33">
        <f>SUM(AA7:AM7)</f>
        <v>0</v>
      </c>
    </row>
    <row r="8" spans="1:40" ht="80.25" customHeight="1">
      <c r="A8" s="571"/>
      <c r="B8" s="571"/>
      <c r="C8" s="571"/>
      <c r="D8" s="576"/>
      <c r="E8" s="563"/>
      <c r="F8" s="563"/>
      <c r="G8" s="563"/>
      <c r="H8" s="75" t="s">
        <v>58</v>
      </c>
      <c r="I8" s="75" t="s">
        <v>59</v>
      </c>
      <c r="J8" s="575"/>
      <c r="K8" s="83" t="s">
        <v>355</v>
      </c>
      <c r="L8" s="83" t="s">
        <v>372</v>
      </c>
      <c r="M8" s="563"/>
      <c r="N8" s="83" t="s">
        <v>13</v>
      </c>
      <c r="O8" s="83" t="s">
        <v>383</v>
      </c>
      <c r="P8" s="83" t="s">
        <v>395</v>
      </c>
      <c r="Q8" s="83" t="s">
        <v>499</v>
      </c>
      <c r="R8" s="548"/>
      <c r="S8" s="563"/>
      <c r="T8" s="4"/>
      <c r="U8" s="31"/>
      <c r="V8" s="31"/>
      <c r="W8" s="32"/>
      <c r="X8" s="32" t="s">
        <v>288</v>
      </c>
      <c r="Y8" s="32">
        <f>COUNTIF(U9:U994,"KCM")</f>
        <v>0</v>
      </c>
      <c r="Z8" s="58">
        <f>SUMIF(U10:U995,"KCM",W10:W995)</f>
        <v>0</v>
      </c>
      <c r="AA8" s="58"/>
      <c r="AB8" s="58"/>
      <c r="AC8" s="58"/>
      <c r="AD8" s="58"/>
      <c r="AE8" s="58"/>
      <c r="AF8" s="58"/>
      <c r="AG8" s="58">
        <f>SUMIFS($W$9:$W$1097,$U$9:$U$1097,"KCM",$V$9:$V$1097,"XH-CC")</f>
        <v>0</v>
      </c>
      <c r="AH8" s="58">
        <f>SUMIFS($W$9:$W$1097,$U$9:$U$1097,"KCM",$V$9:$V$1097,"NS")</f>
        <v>0</v>
      </c>
      <c r="AI8" s="58"/>
      <c r="AJ8" s="58"/>
      <c r="AK8" s="58"/>
      <c r="AL8" s="58"/>
      <c r="AM8" s="58"/>
      <c r="AN8" s="33">
        <f>SUM(AA8:AM8)</f>
        <v>0</v>
      </c>
    </row>
    <row r="9" spans="1:40" s="64" customFormat="1" ht="60" customHeight="1">
      <c r="A9" s="60"/>
      <c r="B9" s="61" t="s">
        <v>9</v>
      </c>
      <c r="C9" s="60"/>
      <c r="D9" s="60"/>
      <c r="E9" s="60"/>
      <c r="F9" s="60"/>
      <c r="G9" s="60"/>
      <c r="H9" s="62">
        <f>SUM(H10,H13)</f>
        <v>3960</v>
      </c>
      <c r="I9" s="62">
        <f t="shared" ref="I9:R9" si="0">SUM(I10,I13)</f>
        <v>3500</v>
      </c>
      <c r="J9" s="62">
        <f t="shared" si="0"/>
        <v>253500</v>
      </c>
      <c r="K9" s="62">
        <f t="shared" si="0"/>
        <v>0</v>
      </c>
      <c r="L9" s="62">
        <f t="shared" si="0"/>
        <v>7000</v>
      </c>
      <c r="M9" s="62">
        <f t="shared" si="0"/>
        <v>0</v>
      </c>
      <c r="N9" s="62">
        <f t="shared" si="0"/>
        <v>0</v>
      </c>
      <c r="O9" s="62">
        <f t="shared" si="0"/>
        <v>0</v>
      </c>
      <c r="P9" s="62">
        <f t="shared" si="0"/>
        <v>0</v>
      </c>
      <c r="Q9" s="62">
        <f t="shared" si="0"/>
        <v>0</v>
      </c>
      <c r="R9" s="62">
        <f t="shared" si="0"/>
        <v>253500</v>
      </c>
      <c r="S9" s="18"/>
    </row>
    <row r="10" spans="1:40" s="98" customFormat="1" ht="66.75" customHeight="1">
      <c r="A10" s="183" t="s">
        <v>14</v>
      </c>
      <c r="B10" s="27" t="s">
        <v>366</v>
      </c>
      <c r="C10" s="184"/>
      <c r="D10" s="185"/>
      <c r="E10" s="184"/>
      <c r="F10" s="184"/>
      <c r="G10" s="184"/>
      <c r="H10" s="46">
        <f>SUM(H11)</f>
        <v>3960</v>
      </c>
      <c r="I10" s="46">
        <f t="shared" ref="I10:R10" si="1">SUM(I11)</f>
        <v>3500</v>
      </c>
      <c r="J10" s="46">
        <f t="shared" si="1"/>
        <v>3500</v>
      </c>
      <c r="K10" s="46">
        <f t="shared" si="1"/>
        <v>0</v>
      </c>
      <c r="L10" s="46">
        <f t="shared" si="1"/>
        <v>3500</v>
      </c>
      <c r="M10" s="46">
        <f t="shared" si="1"/>
        <v>0</v>
      </c>
      <c r="N10" s="46">
        <f t="shared" si="1"/>
        <v>0</v>
      </c>
      <c r="O10" s="46">
        <f t="shared" si="1"/>
        <v>0</v>
      </c>
      <c r="P10" s="46">
        <f t="shared" si="1"/>
        <v>0</v>
      </c>
      <c r="Q10" s="46">
        <f t="shared" si="1"/>
        <v>0</v>
      </c>
      <c r="R10" s="46">
        <f t="shared" si="1"/>
        <v>3500</v>
      </c>
      <c r="S10" s="47"/>
    </row>
    <row r="11" spans="1:40" s="194" customFormat="1" ht="41.25" customHeight="1">
      <c r="A11" s="189" t="s">
        <v>16</v>
      </c>
      <c r="B11" s="190" t="s">
        <v>227</v>
      </c>
      <c r="C11" s="190"/>
      <c r="D11" s="189"/>
      <c r="E11" s="190"/>
      <c r="F11" s="190"/>
      <c r="G11" s="190"/>
      <c r="H11" s="48">
        <f t="shared" ref="H11:M11" si="2">SUM(H12:H12)</f>
        <v>3960</v>
      </c>
      <c r="I11" s="48">
        <f t="shared" si="2"/>
        <v>3500</v>
      </c>
      <c r="J11" s="48">
        <f t="shared" si="2"/>
        <v>3500</v>
      </c>
      <c r="K11" s="48">
        <f t="shared" si="2"/>
        <v>0</v>
      </c>
      <c r="L11" s="48">
        <f t="shared" si="2"/>
        <v>3500</v>
      </c>
      <c r="M11" s="48">
        <f t="shared" si="2"/>
        <v>0</v>
      </c>
      <c r="N11" s="48"/>
      <c r="O11" s="48">
        <f>SUM(O12:O12)</f>
        <v>0</v>
      </c>
      <c r="P11" s="48">
        <f>SUM(P12:P12)</f>
        <v>0</v>
      </c>
      <c r="Q11" s="48">
        <f>SUM(Q12:Q12)</f>
        <v>0</v>
      </c>
      <c r="R11" s="48">
        <f>SUM(R12:R12)</f>
        <v>3500</v>
      </c>
      <c r="S11" s="191"/>
      <c r="T11" s="192"/>
      <c r="U11" s="193"/>
      <c r="V11" s="193"/>
    </row>
    <row r="12" spans="1:40" s="49" customFormat="1" ht="69.75" customHeight="1">
      <c r="A12" s="137">
        <v>1</v>
      </c>
      <c r="B12" s="186" t="s">
        <v>374</v>
      </c>
      <c r="C12" s="166" t="s">
        <v>375</v>
      </c>
      <c r="D12" s="166" t="s">
        <v>19</v>
      </c>
      <c r="E12" s="166" t="s">
        <v>755</v>
      </c>
      <c r="F12" s="166" t="s">
        <v>240</v>
      </c>
      <c r="G12" s="162" t="s">
        <v>754</v>
      </c>
      <c r="H12" s="22">
        <v>3960</v>
      </c>
      <c r="I12" s="22">
        <v>3500</v>
      </c>
      <c r="J12" s="112">
        <f t="shared" ref="J12" si="3">SUM(K12:L12)</f>
        <v>3500</v>
      </c>
      <c r="K12" s="22"/>
      <c r="L12" s="22">
        <v>3500</v>
      </c>
      <c r="M12" s="22">
        <f>SUM(N12:Q12)</f>
        <v>0</v>
      </c>
      <c r="N12" s="22"/>
      <c r="O12" s="22"/>
      <c r="P12" s="22"/>
      <c r="Q12" s="22"/>
      <c r="R12" s="25">
        <v>3500</v>
      </c>
      <c r="S12" s="23"/>
      <c r="U12" s="50"/>
      <c r="V12" s="50"/>
    </row>
    <row r="13" spans="1:40" s="98" customFormat="1" ht="102" customHeight="1">
      <c r="A13" s="183" t="s">
        <v>34</v>
      </c>
      <c r="B13" s="19" t="s">
        <v>817</v>
      </c>
      <c r="C13" s="451"/>
      <c r="D13" s="185"/>
      <c r="E13" s="451"/>
      <c r="F13" s="451"/>
      <c r="G13" s="451"/>
      <c r="H13" s="46">
        <f>SUM(H14)</f>
        <v>0</v>
      </c>
      <c r="I13" s="46">
        <f t="shared" ref="I13:Q13" si="4">SUM(I14)</f>
        <v>0</v>
      </c>
      <c r="J13" s="46">
        <f t="shared" si="4"/>
        <v>250000</v>
      </c>
      <c r="K13" s="46">
        <f t="shared" si="4"/>
        <v>0</v>
      </c>
      <c r="L13" s="46">
        <f t="shared" si="4"/>
        <v>3500</v>
      </c>
      <c r="M13" s="46">
        <f t="shared" si="4"/>
        <v>0</v>
      </c>
      <c r="N13" s="46">
        <f t="shared" si="4"/>
        <v>0</v>
      </c>
      <c r="O13" s="46">
        <f t="shared" si="4"/>
        <v>0</v>
      </c>
      <c r="P13" s="46">
        <f t="shared" si="4"/>
        <v>0</v>
      </c>
      <c r="Q13" s="46">
        <f t="shared" si="4"/>
        <v>0</v>
      </c>
      <c r="R13" s="46">
        <v>250000</v>
      </c>
      <c r="S13" s="1" t="s">
        <v>818</v>
      </c>
    </row>
    <row r="14" spans="1:40" s="194" customFormat="1" ht="41.25" customHeight="1">
      <c r="A14" s="189" t="s">
        <v>16</v>
      </c>
      <c r="B14" s="12" t="s">
        <v>56</v>
      </c>
      <c r="C14" s="190"/>
      <c r="D14" s="189"/>
      <c r="E14" s="190"/>
      <c r="F14" s="190"/>
      <c r="G14" s="190"/>
      <c r="H14" s="48">
        <f t="shared" ref="H14:M14" si="5">SUM(H15:H15)</f>
        <v>0</v>
      </c>
      <c r="I14" s="48">
        <f t="shared" si="5"/>
        <v>0</v>
      </c>
      <c r="J14" s="48">
        <f t="shared" si="5"/>
        <v>250000</v>
      </c>
      <c r="K14" s="48">
        <f t="shared" si="5"/>
        <v>0</v>
      </c>
      <c r="L14" s="48">
        <f t="shared" si="5"/>
        <v>3500</v>
      </c>
      <c r="M14" s="48">
        <f t="shared" si="5"/>
        <v>0</v>
      </c>
      <c r="N14" s="48"/>
      <c r="O14" s="48">
        <f>SUM(O15:O15)</f>
        <v>0</v>
      </c>
      <c r="P14" s="48">
        <f>SUM(P15:P15)</f>
        <v>0</v>
      </c>
      <c r="Q14" s="48">
        <f>SUM(Q15:Q15)</f>
        <v>0</v>
      </c>
      <c r="R14" s="48"/>
      <c r="S14" s="191"/>
      <c r="T14" s="192"/>
      <c r="U14" s="193"/>
      <c r="V14" s="193"/>
    </row>
    <row r="15" spans="1:40" s="49" customFormat="1" ht="83.1" customHeight="1">
      <c r="A15" s="137">
        <v>1</v>
      </c>
      <c r="B15" s="69" t="s">
        <v>986</v>
      </c>
      <c r="C15" s="166" t="s">
        <v>987</v>
      </c>
      <c r="D15" s="166" t="s">
        <v>77</v>
      </c>
      <c r="E15" s="166" t="s">
        <v>988</v>
      </c>
      <c r="F15" s="166" t="s">
        <v>985</v>
      </c>
      <c r="G15" s="166"/>
      <c r="H15" s="22"/>
      <c r="I15" s="22"/>
      <c r="J15" s="112">
        <v>250000</v>
      </c>
      <c r="K15" s="22"/>
      <c r="L15" s="22">
        <v>3500</v>
      </c>
      <c r="M15" s="22">
        <f>SUM(N15:Q15)</f>
        <v>0</v>
      </c>
      <c r="N15" s="22"/>
      <c r="O15" s="22"/>
      <c r="P15" s="22"/>
      <c r="Q15" s="22"/>
      <c r="R15" s="25"/>
      <c r="S15" s="23"/>
      <c r="U15" s="50"/>
      <c r="V15" s="50"/>
    </row>
  </sheetData>
  <autoFilter ref="A8:AN12"/>
  <mergeCells count="20">
    <mergeCell ref="A3:S3"/>
    <mergeCell ref="J6:J8"/>
    <mergeCell ref="A1:S1"/>
    <mergeCell ref="A2:S2"/>
    <mergeCell ref="A4:S4"/>
    <mergeCell ref="A6:A8"/>
    <mergeCell ref="B6:B8"/>
    <mergeCell ref="C6:C8"/>
    <mergeCell ref="D6:D8"/>
    <mergeCell ref="E6:E8"/>
    <mergeCell ref="F6:F8"/>
    <mergeCell ref="G6:I6"/>
    <mergeCell ref="S6:S8"/>
    <mergeCell ref="G7:G8"/>
    <mergeCell ref="H7:I7"/>
    <mergeCell ref="M6:Q6"/>
    <mergeCell ref="N7:Q7"/>
    <mergeCell ref="M7:M8"/>
    <mergeCell ref="K7:L7"/>
    <mergeCell ref="R6:R8"/>
  </mergeCells>
  <printOptions horizontalCentered="1"/>
  <pageMargins left="0.39370078740157499" right="0.39370078740157499" top="0.39370078740157499" bottom="0.39370078740157499" header="0.196850393700787" footer="0.196850393700787"/>
  <pageSetup paperSize="9" scale="46" fitToHeight="0" orientation="landscape" r:id="rId1"/>
  <headerFooter alignWithMargins="0">
    <oddFooter>&amp;C&amp;"Times New Roman,thường"&amp;11&amp;P/&amp;N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N18"/>
  <sheetViews>
    <sheetView view="pageBreakPreview" zoomScale="50" zoomScaleNormal="50" zoomScaleSheetLayoutView="50" workbookViewId="0">
      <selection activeCell="G7" sqref="G7:G8"/>
    </sheetView>
  </sheetViews>
  <sheetFormatPr defaultColWidth="9.109375" defaultRowHeight="16.8"/>
  <cols>
    <col min="1" max="1" width="8.6640625" style="74" customWidth="1"/>
    <col min="2" max="2" width="50.88671875" style="74" customWidth="1"/>
    <col min="3" max="6" width="20.6640625" style="74" customWidth="1"/>
    <col min="7" max="7" width="22.6640625" style="74" customWidth="1"/>
    <col min="8" max="8" width="19.6640625" style="74" customWidth="1"/>
    <col min="9" max="9" width="20.33203125" style="74" customWidth="1"/>
    <col min="10" max="10" width="22.33203125" style="74" customWidth="1"/>
    <col min="11" max="12" width="15.6640625" style="74" hidden="1" customWidth="1"/>
    <col min="13" max="13" width="18.33203125" style="74" customWidth="1"/>
    <col min="14" max="16" width="15.6640625" style="74" hidden="1" customWidth="1"/>
    <col min="17" max="17" width="17.109375" style="74" customWidth="1"/>
    <col min="18" max="18" width="18" style="74" customWidth="1"/>
    <col min="19" max="19" width="41.44140625" style="74" customWidth="1"/>
    <col min="20" max="22" width="9.109375" style="74"/>
    <col min="23" max="23" width="9.6640625" style="74" bestFit="1" customWidth="1"/>
    <col min="24" max="24" width="16.88671875" style="74" customWidth="1"/>
    <col min="25" max="25" width="9.33203125" style="74" bestFit="1" customWidth="1"/>
    <col min="26" max="26" width="13.109375" style="74" bestFit="1" customWidth="1"/>
    <col min="27" max="29" width="9.109375" style="74"/>
    <col min="30" max="30" width="12.88671875" style="74" customWidth="1"/>
    <col min="31" max="34" width="9.109375" style="74"/>
    <col min="35" max="35" width="9.33203125" style="74" bestFit="1" customWidth="1"/>
    <col min="36" max="37" width="9.109375" style="74"/>
    <col min="38" max="38" width="13.44140625" style="74" customWidth="1"/>
    <col min="39" max="39" width="9.109375" style="74"/>
    <col min="40" max="40" width="14.88671875" style="74" customWidth="1"/>
    <col min="41" max="16384" width="9.109375" style="74"/>
  </cols>
  <sheetData>
    <row r="1" spans="1:40" ht="39.9" customHeight="1">
      <c r="A1" s="577" t="s">
        <v>261</v>
      </c>
      <c r="B1" s="577"/>
      <c r="C1" s="577"/>
      <c r="D1" s="577"/>
      <c r="E1" s="577"/>
      <c r="F1" s="577"/>
      <c r="G1" s="577"/>
      <c r="H1" s="577"/>
      <c r="I1" s="577"/>
      <c r="J1" s="577"/>
      <c r="K1" s="577"/>
      <c r="L1" s="577"/>
      <c r="M1" s="577"/>
      <c r="N1" s="577"/>
      <c r="O1" s="577"/>
      <c r="P1" s="577"/>
      <c r="Q1" s="577"/>
      <c r="R1" s="577"/>
      <c r="S1" s="577"/>
    </row>
    <row r="2" spans="1:40" ht="35.1" customHeight="1">
      <c r="A2" s="578" t="s">
        <v>723</v>
      </c>
      <c r="B2" s="578"/>
      <c r="C2" s="578"/>
      <c r="D2" s="578"/>
      <c r="E2" s="578"/>
      <c r="F2" s="578"/>
      <c r="G2" s="578"/>
      <c r="H2" s="578"/>
      <c r="I2" s="578"/>
      <c r="J2" s="578"/>
      <c r="K2" s="578"/>
      <c r="L2" s="578"/>
      <c r="M2" s="578"/>
      <c r="N2" s="578"/>
      <c r="O2" s="578"/>
      <c r="P2" s="578"/>
      <c r="Q2" s="578"/>
      <c r="R2" s="578"/>
      <c r="S2" s="578"/>
    </row>
    <row r="3" spans="1:40" ht="35.1" customHeight="1">
      <c r="A3" s="578" t="s">
        <v>328</v>
      </c>
      <c r="B3" s="578"/>
      <c r="C3" s="578"/>
      <c r="D3" s="578"/>
      <c r="E3" s="578"/>
      <c r="F3" s="578"/>
      <c r="G3" s="578"/>
      <c r="H3" s="578"/>
      <c r="I3" s="578"/>
      <c r="J3" s="578"/>
      <c r="K3" s="578"/>
      <c r="L3" s="578"/>
      <c r="M3" s="578"/>
      <c r="N3" s="578"/>
      <c r="O3" s="578"/>
      <c r="P3" s="578"/>
      <c r="Q3" s="578"/>
      <c r="R3" s="578"/>
      <c r="S3" s="578"/>
    </row>
    <row r="4" spans="1:40" ht="39.9" customHeight="1">
      <c r="A4" s="579" t="str">
        <f>'6. XSKT CNT'!A4:S4</f>
        <v>(Ban hành kèm theo Quyết định số: 2631/QĐ-UBND ngày 19/12 /2024 của Ủy ban nhân dân tỉnh)</v>
      </c>
      <c r="B4" s="579"/>
      <c r="C4" s="579"/>
      <c r="D4" s="579"/>
      <c r="E4" s="579"/>
      <c r="F4" s="579"/>
      <c r="G4" s="579"/>
      <c r="H4" s="579"/>
      <c r="I4" s="579"/>
      <c r="J4" s="579"/>
      <c r="K4" s="579"/>
      <c r="L4" s="579"/>
      <c r="M4" s="579"/>
      <c r="N4" s="579"/>
      <c r="O4" s="579"/>
      <c r="P4" s="579"/>
      <c r="Q4" s="579"/>
      <c r="R4" s="579"/>
      <c r="S4" s="579"/>
    </row>
    <row r="5" spans="1:40" ht="33.75" customHeight="1">
      <c r="K5" s="72"/>
      <c r="L5" s="72"/>
      <c r="M5" s="72"/>
      <c r="N5" s="72"/>
      <c r="O5" s="72"/>
      <c r="P5" s="72"/>
      <c r="Q5" s="72"/>
      <c r="R5" s="72"/>
      <c r="S5" s="118" t="s">
        <v>0</v>
      </c>
    </row>
    <row r="6" spans="1:40" ht="63.75" customHeight="1">
      <c r="A6" s="576" t="s">
        <v>1</v>
      </c>
      <c r="B6" s="576" t="s">
        <v>320</v>
      </c>
      <c r="C6" s="576" t="s">
        <v>3</v>
      </c>
      <c r="D6" s="576" t="s">
        <v>321</v>
      </c>
      <c r="E6" s="576" t="s">
        <v>322</v>
      </c>
      <c r="F6" s="576" t="s">
        <v>323</v>
      </c>
      <c r="G6" s="582" t="s">
        <v>600</v>
      </c>
      <c r="H6" s="582"/>
      <c r="I6" s="582"/>
      <c r="J6" s="587" t="s">
        <v>850</v>
      </c>
      <c r="K6" s="588"/>
      <c r="L6" s="589"/>
      <c r="M6" s="580" t="s">
        <v>849</v>
      </c>
      <c r="N6" s="581"/>
      <c r="O6" s="581"/>
      <c r="P6" s="581"/>
      <c r="Q6" s="581"/>
      <c r="R6" s="584" t="s">
        <v>678</v>
      </c>
      <c r="S6" s="576" t="s">
        <v>6</v>
      </c>
      <c r="U6" s="119" t="s">
        <v>269</v>
      </c>
      <c r="V6" s="119" t="s">
        <v>270</v>
      </c>
      <c r="W6" s="74" t="s">
        <v>271</v>
      </c>
      <c r="Y6" s="74" t="s">
        <v>272</v>
      </c>
      <c r="Z6" s="119" t="s">
        <v>273</v>
      </c>
      <c r="AA6" s="119" t="s">
        <v>274</v>
      </c>
      <c r="AB6" s="119" t="s">
        <v>275</v>
      </c>
      <c r="AC6" s="119" t="s">
        <v>276</v>
      </c>
      <c r="AD6" s="119" t="s">
        <v>277</v>
      </c>
      <c r="AE6" s="119" t="s">
        <v>278</v>
      </c>
      <c r="AF6" s="119" t="s">
        <v>279</v>
      </c>
      <c r="AG6" s="119" t="s">
        <v>280</v>
      </c>
      <c r="AH6" s="119" t="s">
        <v>281</v>
      </c>
      <c r="AI6" s="119" t="s">
        <v>282</v>
      </c>
      <c r="AJ6" s="119" t="s">
        <v>283</v>
      </c>
      <c r="AK6" s="119" t="s">
        <v>284</v>
      </c>
      <c r="AL6" s="119" t="s">
        <v>285</v>
      </c>
      <c r="AM6" s="119" t="s">
        <v>286</v>
      </c>
    </row>
    <row r="7" spans="1:40" ht="47.25" customHeight="1">
      <c r="A7" s="576"/>
      <c r="B7" s="576"/>
      <c r="C7" s="576"/>
      <c r="D7" s="576"/>
      <c r="E7" s="576"/>
      <c r="F7" s="576"/>
      <c r="G7" s="576" t="s">
        <v>7</v>
      </c>
      <c r="H7" s="576" t="s">
        <v>8</v>
      </c>
      <c r="I7" s="576"/>
      <c r="J7" s="590"/>
      <c r="K7" s="591"/>
      <c r="L7" s="592"/>
      <c r="M7" s="583" t="s">
        <v>9</v>
      </c>
      <c r="N7" s="580" t="s">
        <v>10</v>
      </c>
      <c r="O7" s="581"/>
      <c r="P7" s="581"/>
      <c r="Q7" s="581"/>
      <c r="R7" s="585"/>
      <c r="S7" s="576"/>
      <c r="U7" s="119"/>
      <c r="V7" s="119"/>
      <c r="X7" s="120" t="s">
        <v>287</v>
      </c>
      <c r="Y7" s="74">
        <f>COUNTIF(U9:U991,"CT")</f>
        <v>0</v>
      </c>
      <c r="Z7" s="23">
        <f>SUMIF(U9:U991,"CT",W9:W991)</f>
        <v>0</v>
      </c>
      <c r="AA7" s="23"/>
      <c r="AB7" s="23"/>
      <c r="AC7" s="23"/>
      <c r="AD7" s="23">
        <f>SUMIFS($W$10:$W$1094,$U$10:$U$1094,"CT",$V$10:$V$1094,"YT")</f>
        <v>0</v>
      </c>
      <c r="AE7" s="23"/>
      <c r="AF7" s="23"/>
      <c r="AG7" s="23"/>
      <c r="AH7" s="23"/>
      <c r="AI7" s="23">
        <f>SUMIFS($W$10:$W$1094,$U$10:$U$1094,"CT",$V$10:$V$1094,"TNMT")</f>
        <v>0</v>
      </c>
      <c r="AJ7" s="23"/>
      <c r="AK7" s="23"/>
      <c r="AL7" s="23">
        <f>SUMIFS($W$10:$W$1094,$U$10:$U$1094,"CT",$V$10:$V$1094,"PTĐT")</f>
        <v>0</v>
      </c>
      <c r="AM7" s="23"/>
      <c r="AN7" s="120">
        <f>SUM(AA7:AM7)</f>
        <v>0</v>
      </c>
    </row>
    <row r="8" spans="1:40" ht="82.5" customHeight="1">
      <c r="A8" s="576"/>
      <c r="B8" s="576"/>
      <c r="C8" s="576"/>
      <c r="D8" s="576"/>
      <c r="E8" s="576"/>
      <c r="F8" s="576"/>
      <c r="G8" s="576"/>
      <c r="H8" s="121" t="s">
        <v>9</v>
      </c>
      <c r="I8" s="122" t="s">
        <v>324</v>
      </c>
      <c r="J8" s="593"/>
      <c r="K8" s="594"/>
      <c r="L8" s="595"/>
      <c r="M8" s="583"/>
      <c r="N8" s="235" t="s">
        <v>13</v>
      </c>
      <c r="O8" s="235" t="s">
        <v>361</v>
      </c>
      <c r="P8" s="235" t="s">
        <v>416</v>
      </c>
      <c r="Q8" s="235" t="s">
        <v>498</v>
      </c>
      <c r="R8" s="586"/>
      <c r="S8" s="576"/>
      <c r="U8" s="119"/>
      <c r="V8" s="119"/>
      <c r="X8" s="74" t="s">
        <v>288</v>
      </c>
      <c r="Y8" s="74">
        <f>COUNTIF(U10:U991,"KCM")</f>
        <v>1</v>
      </c>
      <c r="Z8" s="23">
        <f>SUMIF(U10:U991,"KCM",W10:W991)</f>
        <v>1484730</v>
      </c>
      <c r="AA8" s="23"/>
      <c r="AB8" s="23"/>
      <c r="AC8" s="23"/>
      <c r="AD8" s="23">
        <f>SUMIFS($W$10:$W$1094,$U$10:$U$1094,"KCM",$V$10:$V$1094,"YT")</f>
        <v>0</v>
      </c>
      <c r="AE8" s="23"/>
      <c r="AF8" s="23"/>
      <c r="AG8" s="23"/>
      <c r="AH8" s="23"/>
      <c r="AI8" s="23">
        <f>SUMIFS($Y$10:$Y$1094,$W$10:$W$1094,"KCM",$X$10:$X$1094,"TNMT")</f>
        <v>0</v>
      </c>
      <c r="AJ8" s="23"/>
      <c r="AK8" s="23"/>
      <c r="AL8" s="23">
        <f>SUMIFS($W$10:$W$1094,$U$10:$U$1094,"KCM",$V$10:$V$1094,"PTĐT")</f>
        <v>1484730</v>
      </c>
      <c r="AM8" s="23"/>
      <c r="AN8" s="120">
        <f>SUM(AA8:AM8)</f>
        <v>1484730</v>
      </c>
    </row>
    <row r="9" spans="1:40" s="125" customFormat="1" ht="96.75" customHeight="1">
      <c r="A9" s="123"/>
      <c r="B9" s="124" t="s">
        <v>188</v>
      </c>
      <c r="C9" s="123"/>
      <c r="D9" s="124"/>
      <c r="E9" s="123"/>
      <c r="F9" s="123"/>
      <c r="G9" s="123"/>
      <c r="H9" s="28">
        <f>SUM(H10)</f>
        <v>4731480</v>
      </c>
      <c r="I9" s="28">
        <f t="shared" ref="I9:R9" si="0">SUM(I10)</f>
        <v>1484730</v>
      </c>
      <c r="J9" s="28">
        <f t="shared" si="0"/>
        <v>1473587</v>
      </c>
      <c r="K9" s="28">
        <f t="shared" si="0"/>
        <v>1484730</v>
      </c>
      <c r="L9" s="28">
        <f t="shared" si="0"/>
        <v>-11143</v>
      </c>
      <c r="M9" s="28">
        <f t="shared" si="0"/>
        <v>188000</v>
      </c>
      <c r="N9" s="28">
        <f t="shared" si="0"/>
        <v>0</v>
      </c>
      <c r="O9" s="28">
        <f t="shared" si="0"/>
        <v>0</v>
      </c>
      <c r="P9" s="28">
        <f t="shared" si="0"/>
        <v>0</v>
      </c>
      <c r="Q9" s="28">
        <f t="shared" si="0"/>
        <v>188000</v>
      </c>
      <c r="R9" s="28">
        <f t="shared" si="0"/>
        <v>638300</v>
      </c>
      <c r="S9" s="252" t="s">
        <v>848</v>
      </c>
      <c r="U9" s="126"/>
      <c r="V9" s="126"/>
    </row>
    <row r="10" spans="1:40" s="129" customFormat="1" ht="50.25" customHeight="1">
      <c r="A10" s="121"/>
      <c r="B10" s="27" t="s">
        <v>15</v>
      </c>
      <c r="C10" s="127"/>
      <c r="D10" s="127"/>
      <c r="E10" s="127"/>
      <c r="F10" s="127"/>
      <c r="G10" s="127"/>
      <c r="H10" s="128">
        <f>SUM(H11)</f>
        <v>4731480</v>
      </c>
      <c r="I10" s="128">
        <f t="shared" ref="I10:R10" si="1">SUM(I11)</f>
        <v>1484730</v>
      </c>
      <c r="J10" s="128">
        <f t="shared" si="1"/>
        <v>1473587</v>
      </c>
      <c r="K10" s="128">
        <f t="shared" si="1"/>
        <v>1484730</v>
      </c>
      <c r="L10" s="128">
        <f t="shared" si="1"/>
        <v>-11143</v>
      </c>
      <c r="M10" s="128">
        <f t="shared" si="1"/>
        <v>188000</v>
      </c>
      <c r="N10" s="128">
        <f t="shared" si="1"/>
        <v>0</v>
      </c>
      <c r="O10" s="128">
        <f t="shared" si="1"/>
        <v>0</v>
      </c>
      <c r="P10" s="128">
        <f t="shared" si="1"/>
        <v>0</v>
      </c>
      <c r="Q10" s="128">
        <f t="shared" si="1"/>
        <v>188000</v>
      </c>
      <c r="R10" s="128">
        <f t="shared" si="1"/>
        <v>638300</v>
      </c>
      <c r="S10" s="127"/>
    </row>
    <row r="11" spans="1:40" s="132" customFormat="1" ht="49.5" customHeight="1">
      <c r="A11" s="122"/>
      <c r="B11" s="130" t="s">
        <v>325</v>
      </c>
      <c r="C11" s="130"/>
      <c r="D11" s="130"/>
      <c r="E11" s="130"/>
      <c r="F11" s="130"/>
      <c r="G11" s="130"/>
      <c r="H11" s="131">
        <f t="shared" ref="H11:Q11" si="2">SUM(H12:H17)</f>
        <v>4731480</v>
      </c>
      <c r="I11" s="131">
        <f t="shared" si="2"/>
        <v>1484730</v>
      </c>
      <c r="J11" s="131">
        <f t="shared" si="2"/>
        <v>1473587</v>
      </c>
      <c r="K11" s="131">
        <f t="shared" si="2"/>
        <v>1484730</v>
      </c>
      <c r="L11" s="131">
        <f t="shared" si="2"/>
        <v>-11143</v>
      </c>
      <c r="M11" s="131">
        <f t="shared" si="2"/>
        <v>188000</v>
      </c>
      <c r="N11" s="131">
        <f t="shared" si="2"/>
        <v>0</v>
      </c>
      <c r="O11" s="131">
        <f t="shared" si="2"/>
        <v>0</v>
      </c>
      <c r="P11" s="131">
        <f t="shared" si="2"/>
        <v>0</v>
      </c>
      <c r="Q11" s="131">
        <f t="shared" si="2"/>
        <v>188000</v>
      </c>
      <c r="R11" s="131">
        <f t="shared" ref="R11" si="3">SUM(R12:R17)</f>
        <v>638300</v>
      </c>
      <c r="S11" s="131"/>
    </row>
    <row r="12" spans="1:40" s="129" customFormat="1" ht="99.75" customHeight="1">
      <c r="A12" s="133">
        <v>1</v>
      </c>
      <c r="B12" s="117" t="s">
        <v>326</v>
      </c>
      <c r="C12" s="133" t="s">
        <v>17</v>
      </c>
      <c r="D12" s="134" t="s">
        <v>77</v>
      </c>
      <c r="E12" s="133" t="s">
        <v>350</v>
      </c>
      <c r="F12" s="134" t="s">
        <v>39</v>
      </c>
      <c r="G12" s="133" t="s">
        <v>351</v>
      </c>
      <c r="H12" s="73">
        <v>4731480</v>
      </c>
      <c r="I12" s="23">
        <v>1484730</v>
      </c>
      <c r="J12" s="23">
        <f>SUM(K12:L12)</f>
        <v>1473587</v>
      </c>
      <c r="K12" s="73">
        <v>1484730</v>
      </c>
      <c r="L12" s="73">
        <v>-11143</v>
      </c>
      <c r="M12" s="73">
        <f>SUM(N12:Q12)</f>
        <v>188000</v>
      </c>
      <c r="N12" s="73"/>
      <c r="O12" s="73"/>
      <c r="P12" s="81">
        <v>0</v>
      </c>
      <c r="Q12" s="81">
        <v>188000</v>
      </c>
      <c r="R12" s="73">
        <v>638300</v>
      </c>
      <c r="S12" s="164"/>
      <c r="U12" s="129" t="s">
        <v>290</v>
      </c>
      <c r="V12" s="129" t="s">
        <v>285</v>
      </c>
      <c r="W12" s="135">
        <f>K12</f>
        <v>1484730</v>
      </c>
    </row>
    <row r="13" spans="1:40" ht="13.5" customHeight="1"/>
    <row r="18" spans="15:15">
      <c r="O18" s="120"/>
    </row>
  </sheetData>
  <mergeCells count="19">
    <mergeCell ref="R6:R8"/>
    <mergeCell ref="A3:S3"/>
    <mergeCell ref="J6:L8"/>
    <mergeCell ref="A1:S1"/>
    <mergeCell ref="A2:S2"/>
    <mergeCell ref="A4:S4"/>
    <mergeCell ref="M6:Q6"/>
    <mergeCell ref="N7:Q7"/>
    <mergeCell ref="G6:I6"/>
    <mergeCell ref="S6:S8"/>
    <mergeCell ref="G7:G8"/>
    <mergeCell ref="H7:I7"/>
    <mergeCell ref="M7:M8"/>
    <mergeCell ref="A6:A8"/>
    <mergeCell ref="B6:B8"/>
    <mergeCell ref="D6:D8"/>
    <mergeCell ref="C6:C8"/>
    <mergeCell ref="E6:E8"/>
    <mergeCell ref="F6:F8"/>
  </mergeCells>
  <printOptions horizontalCentered="1"/>
  <pageMargins left="0.39370078740157483" right="0.39370078740157483" top="0.39370078740157483" bottom="0.39370078740157483" header="0.19685039370078741" footer="0.19685039370078741"/>
  <pageSetup paperSize="9" scale="44" fitToHeight="0" orientation="landscape" r:id="rId1"/>
  <headerFoot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N18"/>
  <sheetViews>
    <sheetView view="pageBreakPreview" topLeftCell="A4" zoomScale="50" zoomScaleNormal="60" zoomScaleSheetLayoutView="50" workbookViewId="0">
      <selection activeCell="J29" sqref="J29"/>
    </sheetView>
  </sheetViews>
  <sheetFormatPr defaultColWidth="9.109375" defaultRowHeight="16.8"/>
  <cols>
    <col min="1" max="1" width="8.6640625" style="8" customWidth="1"/>
    <col min="2" max="2" width="50.6640625" style="8" customWidth="1"/>
    <col min="3" max="3" width="20.6640625" style="8" customWidth="1"/>
    <col min="4" max="4" width="20.6640625" style="17" customWidth="1"/>
    <col min="5" max="6" width="20.6640625" style="8" customWidth="1"/>
    <col min="7" max="7" width="22.6640625" style="8" customWidth="1"/>
    <col min="8" max="9" width="15.6640625" style="8" customWidth="1"/>
    <col min="10" max="10" width="20.6640625" style="8" customWidth="1"/>
    <col min="11" max="12" width="15.6640625" style="8" hidden="1" customWidth="1"/>
    <col min="13" max="13" width="15.6640625" style="8" customWidth="1"/>
    <col min="14" max="16" width="15.6640625" style="8" hidden="1" customWidth="1"/>
    <col min="17" max="18" width="15.6640625" style="8" customWidth="1"/>
    <col min="19" max="19" width="43.33203125" style="8" customWidth="1"/>
    <col min="20" max="20" width="19.109375" style="8" customWidth="1"/>
    <col min="21" max="21" width="14.88671875" style="17" customWidth="1"/>
    <col min="22" max="22" width="13.44140625" style="17" customWidth="1"/>
    <col min="23" max="23" width="17.88671875" style="8" customWidth="1"/>
    <col min="24" max="24" width="19.33203125" style="8" customWidth="1"/>
    <col min="25" max="25" width="17.33203125" style="8" customWidth="1"/>
    <col min="26" max="40" width="15.109375" style="8" customWidth="1"/>
    <col min="41" max="16384" width="9.109375" style="8"/>
  </cols>
  <sheetData>
    <row r="1" spans="1:40" ht="39.9" customHeight="1">
      <c r="A1" s="567" t="s">
        <v>658</v>
      </c>
      <c r="B1" s="567"/>
      <c r="C1" s="567"/>
      <c r="D1" s="567"/>
      <c r="E1" s="567"/>
      <c r="F1" s="567"/>
      <c r="G1" s="567"/>
      <c r="H1" s="567"/>
      <c r="I1" s="567"/>
      <c r="J1" s="567"/>
      <c r="K1" s="567"/>
      <c r="L1" s="567"/>
      <c r="M1" s="567"/>
      <c r="N1" s="567"/>
      <c r="O1" s="567"/>
      <c r="P1" s="567"/>
      <c r="Q1" s="567"/>
      <c r="R1" s="567"/>
      <c r="S1" s="567"/>
    </row>
    <row r="2" spans="1:40" ht="35.1" customHeight="1">
      <c r="A2" s="568" t="s">
        <v>724</v>
      </c>
      <c r="B2" s="568"/>
      <c r="C2" s="568"/>
      <c r="D2" s="568"/>
      <c r="E2" s="568"/>
      <c r="F2" s="568"/>
      <c r="G2" s="568"/>
      <c r="H2" s="568"/>
      <c r="I2" s="568"/>
      <c r="J2" s="568"/>
      <c r="K2" s="568"/>
      <c r="L2" s="568"/>
      <c r="M2" s="568"/>
      <c r="N2" s="568"/>
      <c r="O2" s="568"/>
      <c r="P2" s="568"/>
      <c r="Q2" s="568"/>
      <c r="R2" s="568"/>
      <c r="S2" s="568"/>
    </row>
    <row r="3" spans="1:40" ht="35.1" customHeight="1">
      <c r="A3" s="568" t="s">
        <v>727</v>
      </c>
      <c r="B3" s="568"/>
      <c r="C3" s="568"/>
      <c r="D3" s="568"/>
      <c r="E3" s="568"/>
      <c r="F3" s="568"/>
      <c r="G3" s="568"/>
      <c r="H3" s="568"/>
      <c r="I3" s="568"/>
      <c r="J3" s="568"/>
      <c r="K3" s="568"/>
      <c r="L3" s="568"/>
      <c r="M3" s="568"/>
      <c r="N3" s="568"/>
      <c r="O3" s="568"/>
      <c r="P3" s="568"/>
      <c r="Q3" s="568"/>
      <c r="R3" s="568"/>
      <c r="S3" s="568"/>
    </row>
    <row r="4" spans="1:40" ht="39.9" customHeight="1">
      <c r="A4" s="569" t="str">
        <f>'7. Boi chi'!A4:S4</f>
        <v>(Ban hành kèm theo Quyết định số: 2631/QĐ-UBND ngày 19/12 /2024 của Ủy ban nhân dân tỉnh)</v>
      </c>
      <c r="B4" s="569"/>
      <c r="C4" s="569"/>
      <c r="D4" s="569"/>
      <c r="E4" s="569"/>
      <c r="F4" s="569"/>
      <c r="G4" s="569"/>
      <c r="H4" s="569"/>
      <c r="I4" s="569"/>
      <c r="J4" s="569"/>
      <c r="K4" s="569"/>
      <c r="L4" s="569"/>
      <c r="M4" s="569"/>
      <c r="N4" s="569"/>
      <c r="O4" s="569"/>
      <c r="P4" s="569"/>
      <c r="Q4" s="569"/>
      <c r="R4" s="569"/>
      <c r="S4" s="569"/>
    </row>
    <row r="5" spans="1:40" ht="33.75" customHeight="1">
      <c r="J5" s="9"/>
      <c r="K5" s="9"/>
      <c r="L5" s="9"/>
      <c r="M5" s="9"/>
      <c r="N5" s="9"/>
      <c r="O5" s="9"/>
      <c r="P5" s="9"/>
      <c r="Q5" s="9"/>
      <c r="R5" s="9"/>
      <c r="S5" s="9" t="s">
        <v>0</v>
      </c>
    </row>
    <row r="6" spans="1:40" ht="60" customHeight="1">
      <c r="A6" s="570" t="s">
        <v>1</v>
      </c>
      <c r="B6" s="570" t="s">
        <v>2</v>
      </c>
      <c r="C6" s="570" t="s">
        <v>3</v>
      </c>
      <c r="D6" s="570" t="s">
        <v>321</v>
      </c>
      <c r="E6" s="563" t="s">
        <v>4</v>
      </c>
      <c r="F6" s="563" t="s">
        <v>5</v>
      </c>
      <c r="G6" s="563" t="s">
        <v>600</v>
      </c>
      <c r="H6" s="563"/>
      <c r="I6" s="563"/>
      <c r="J6" s="573" t="s">
        <v>850</v>
      </c>
      <c r="K6" s="596"/>
      <c r="L6" s="597"/>
      <c r="M6" s="536" t="s">
        <v>849</v>
      </c>
      <c r="N6" s="537"/>
      <c r="O6" s="537"/>
      <c r="P6" s="537"/>
      <c r="Q6" s="537"/>
      <c r="R6" s="547" t="s">
        <v>678</v>
      </c>
      <c r="S6" s="563" t="s">
        <v>6</v>
      </c>
      <c r="T6" s="10"/>
    </row>
    <row r="7" spans="1:40" ht="45" customHeight="1">
      <c r="A7" s="571"/>
      <c r="B7" s="571"/>
      <c r="C7" s="571"/>
      <c r="D7" s="571"/>
      <c r="E7" s="563"/>
      <c r="F7" s="563"/>
      <c r="G7" s="563" t="s">
        <v>7</v>
      </c>
      <c r="H7" s="563" t="s">
        <v>8</v>
      </c>
      <c r="I7" s="563"/>
      <c r="J7" s="574"/>
      <c r="K7" s="598"/>
      <c r="L7" s="599"/>
      <c r="M7" s="543" t="s">
        <v>9</v>
      </c>
      <c r="N7" s="536" t="s">
        <v>10</v>
      </c>
      <c r="O7" s="537"/>
      <c r="P7" s="537"/>
      <c r="Q7" s="537"/>
      <c r="R7" s="551"/>
      <c r="S7" s="563"/>
      <c r="T7" s="10"/>
      <c r="U7" s="92" t="s">
        <v>269</v>
      </c>
      <c r="V7" s="92" t="s">
        <v>270</v>
      </c>
      <c r="W7" s="91" t="s">
        <v>271</v>
      </c>
      <c r="X7" s="91"/>
      <c r="Y7" s="91" t="s">
        <v>272</v>
      </c>
      <c r="Z7" s="92" t="s">
        <v>273</v>
      </c>
      <c r="AA7" s="92" t="s">
        <v>274</v>
      </c>
      <c r="AB7" s="92" t="s">
        <v>275</v>
      </c>
      <c r="AC7" s="92" t="s">
        <v>276</v>
      </c>
      <c r="AD7" s="92" t="s">
        <v>277</v>
      </c>
      <c r="AE7" s="92" t="s">
        <v>278</v>
      </c>
      <c r="AF7" s="92" t="s">
        <v>279</v>
      </c>
      <c r="AG7" s="92" t="s">
        <v>280</v>
      </c>
      <c r="AH7" s="92" t="s">
        <v>281</v>
      </c>
      <c r="AI7" s="92" t="s">
        <v>282</v>
      </c>
      <c r="AJ7" s="92" t="s">
        <v>283</v>
      </c>
      <c r="AK7" s="92" t="s">
        <v>284</v>
      </c>
      <c r="AL7" s="92" t="s">
        <v>285</v>
      </c>
      <c r="AM7" s="92" t="s">
        <v>286</v>
      </c>
      <c r="AN7" s="91"/>
    </row>
    <row r="8" spans="1:40" ht="78" customHeight="1">
      <c r="A8" s="571"/>
      <c r="B8" s="571"/>
      <c r="C8" s="571"/>
      <c r="D8" s="572"/>
      <c r="E8" s="563"/>
      <c r="F8" s="563"/>
      <c r="G8" s="563"/>
      <c r="H8" s="75" t="s">
        <v>58</v>
      </c>
      <c r="I8" s="75" t="s">
        <v>59</v>
      </c>
      <c r="J8" s="575"/>
      <c r="K8" s="600"/>
      <c r="L8" s="601"/>
      <c r="M8" s="543"/>
      <c r="N8" s="83" t="s">
        <v>13</v>
      </c>
      <c r="O8" s="83" t="s">
        <v>361</v>
      </c>
      <c r="P8" s="83" t="s">
        <v>416</v>
      </c>
      <c r="Q8" s="83" t="s">
        <v>498</v>
      </c>
      <c r="R8" s="548"/>
      <c r="S8" s="563"/>
      <c r="T8" s="4"/>
      <c r="U8" s="92"/>
      <c r="V8" s="92"/>
      <c r="W8" s="91"/>
      <c r="X8" s="94" t="s">
        <v>287</v>
      </c>
      <c r="Y8" s="91">
        <f>COUNTIF(U10:U800,"CT")</f>
        <v>0</v>
      </c>
      <c r="Z8" s="58">
        <f>SUMIF(U10:U800,"CT",W10:W800)</f>
        <v>0</v>
      </c>
      <c r="AA8" s="58">
        <f>SUMIFS($W$9:$W$901,$U$9:$U$901,"CT",$V$9:$V$901,"GT")</f>
        <v>0</v>
      </c>
      <c r="AB8" s="58">
        <f>SUMIFS($W$9:$W$901,$U$9:$U$901,"CT",$V$9:$V$901,"NN-TL")</f>
        <v>0</v>
      </c>
      <c r="AC8" s="58">
        <f>SUMIFS($W$9:$W$901,$U$9:$U$901,"CT",$V$9:$V$901,"GDĐT")</f>
        <v>0</v>
      </c>
      <c r="AD8" s="58">
        <f>SUMIFS($W$9:$W$901,$U$9:$U$901,"CT",$V$9:$V$901,"YT")</f>
        <v>0</v>
      </c>
      <c r="AE8" s="58">
        <f>SUMIFS($W$9:$W$901,$U$9:$U$901,"CT",$V$9:$V$901,"VH")</f>
        <v>0</v>
      </c>
      <c r="AF8" s="58">
        <f>SUMIFS($W$9:$W$901,$U$9:$U$901,"CT",$V$9:$V$901,"TTTT")</f>
        <v>0</v>
      </c>
      <c r="AG8" s="58">
        <f>SUMIFS($W$9:$W$901,$U$9:$U$901,"CT",$V$9:$V$901,"XH-CC")</f>
        <v>0</v>
      </c>
      <c r="AH8" s="58">
        <f>SUMIFS($W$9:$W$901,$U$9:$U$901,"CT",$V$9:$V$901,"NS")</f>
        <v>0</v>
      </c>
      <c r="AI8" s="58">
        <f>SUMIFS($W$9:$W$901,$U$9:$U$901,"CT",$V$9:$V$901,"TNMT")</f>
        <v>0</v>
      </c>
      <c r="AJ8" s="58">
        <f>SUMIFS($W$9:$W$901,$U$9:$U$901,"CT",$V$9:$V$901,"QLNN")</f>
        <v>0</v>
      </c>
      <c r="AK8" s="58">
        <f>SUMIFS($W$9:$W$901,$U$9:$U$901,"CT",$V$9:$V$901,"QPAN")</f>
        <v>0</v>
      </c>
      <c r="AL8" s="58">
        <f>SUMIFS($W$9:$W$901,$U$9:$U$901,"CT",$V$9:$V$901,"PTĐT")</f>
        <v>0</v>
      </c>
      <c r="AM8" s="58">
        <f>SUMIFS($W$9:$W$901,$U$9:$U$901,"CT",$V$9:$V$901,"TMDV")</f>
        <v>0</v>
      </c>
      <c r="AN8" s="94">
        <f>SUM(AA8:AM8)</f>
        <v>0</v>
      </c>
    </row>
    <row r="9" spans="1:40" s="45" customFormat="1" ht="60" customHeight="1">
      <c r="A9" s="40"/>
      <c r="B9" s="195" t="s">
        <v>188</v>
      </c>
      <c r="C9" s="40"/>
      <c r="D9" s="40"/>
      <c r="E9" s="40"/>
      <c r="F9" s="40"/>
      <c r="G9" s="40"/>
      <c r="H9" s="42">
        <f>SUM(H10,H13,H14,H15)</f>
        <v>208514</v>
      </c>
      <c r="I9" s="42">
        <f t="shared" ref="I9:Q9" si="0">SUM(I10,I13,I14,I15)</f>
        <v>168554</v>
      </c>
      <c r="J9" s="42">
        <f t="shared" si="0"/>
        <v>77554</v>
      </c>
      <c r="K9" s="42">
        <f t="shared" si="0"/>
        <v>0</v>
      </c>
      <c r="L9" s="42">
        <f t="shared" si="0"/>
        <v>77554</v>
      </c>
      <c r="M9" s="42">
        <f t="shared" si="0"/>
        <v>5000</v>
      </c>
      <c r="N9" s="42">
        <f t="shared" si="0"/>
        <v>0</v>
      </c>
      <c r="O9" s="42">
        <f t="shared" si="0"/>
        <v>0</v>
      </c>
      <c r="P9" s="42">
        <f t="shared" si="0"/>
        <v>0</v>
      </c>
      <c r="Q9" s="42">
        <f t="shared" si="0"/>
        <v>5000</v>
      </c>
      <c r="R9" s="42">
        <f t="shared" ref="R9" si="1">SUM(R10,R13,R14,R15)</f>
        <v>72554</v>
      </c>
      <c r="S9" s="43"/>
      <c r="T9" s="44"/>
      <c r="U9" s="89"/>
      <c r="V9" s="89"/>
      <c r="W9" s="90"/>
      <c r="X9" s="90" t="s">
        <v>288</v>
      </c>
      <c r="Y9" s="90">
        <f>COUNTIF(U10:U799,"KCM")</f>
        <v>0</v>
      </c>
      <c r="Z9" s="41">
        <f>SUMIF(U10:U800,"KCM",W10:W800)</f>
        <v>0</v>
      </c>
      <c r="AA9" s="41">
        <f>SUMIFS($W$9:$W$901,$U$9:$U$901,"KCM",$V$9:$V$901,"GT")</f>
        <v>0</v>
      </c>
      <c r="AB9" s="41">
        <f>SUMIFS($W$9:$W$901,$U$9:$U$901,"KCM",$V$9:$V$901,"NN-TL")</f>
        <v>0</v>
      </c>
      <c r="AC9" s="41">
        <f>SUMIFS($W$9:$W$901,$U$9:$U$901,"KCM",$V$9:$V$901,"GDĐT")</f>
        <v>0</v>
      </c>
      <c r="AD9" s="41">
        <f>SUMIFS($W$9:$W$901,$U$9:$U$901,"KCM",$V$9:$V$901,"YT")</f>
        <v>0</v>
      </c>
      <c r="AE9" s="41">
        <f>SUMIFS($W$9:$W$901,$U$9:$U$901,"KCM",$V$9:$V$901,"VH")</f>
        <v>0</v>
      </c>
      <c r="AF9" s="41">
        <f>SUMIFS($W$9:$W$901,$U$9:$U$901,"KCM",$V$9:$V$901,"TTTT")</f>
        <v>0</v>
      </c>
      <c r="AG9" s="41">
        <f>SUMIFS($W$9:$W$901,$U$9:$U$901,"KCM",$V$9:$V$901,"XH-CC")</f>
        <v>0</v>
      </c>
      <c r="AH9" s="41">
        <f>SUMIFS($W$9:$W$901,$U$9:$U$901,"KCM",$V$9:$V$901,"NS")</f>
        <v>0</v>
      </c>
      <c r="AI9" s="41">
        <f>SUMIFS($W$9:$W$901,$U$9:$U$901,"KCM",$V$9:$V$901,"TNMT")</f>
        <v>0</v>
      </c>
      <c r="AJ9" s="41">
        <f>SUMIFS($W$9:$W$901,$U$9:$U$901,"KCM",$V$9:$V$901,"QLNN")</f>
        <v>0</v>
      </c>
      <c r="AK9" s="41">
        <f>SUMIFS($W$9:$W$901,$U$9:$U$901,"KCM",$V$9:$V$901,"QPAN")</f>
        <v>0</v>
      </c>
      <c r="AL9" s="41">
        <f>SUMIFS($W$9:$W$901,$U$9:$U$901,"KCM",$V$9:$V$901,"PTĐT")</f>
        <v>0</v>
      </c>
      <c r="AM9" s="41">
        <f>SUMIFS($W$9:$W$901,$U$9:$U$901,"KCM",$V$9:$V$901,"TMDV")</f>
        <v>0</v>
      </c>
      <c r="AN9" s="96">
        <f>SUM(AA9:AM9)</f>
        <v>0</v>
      </c>
    </row>
    <row r="10" spans="1:40" s="13" customFormat="1" ht="60" customHeight="1">
      <c r="A10" s="438" t="s">
        <v>14</v>
      </c>
      <c r="B10" s="19" t="s">
        <v>66</v>
      </c>
      <c r="C10" s="438"/>
      <c r="D10" s="438"/>
      <c r="E10" s="438"/>
      <c r="F10" s="438"/>
      <c r="G10" s="438"/>
      <c r="H10" s="5">
        <f>SUM(H11)</f>
        <v>139779</v>
      </c>
      <c r="I10" s="5">
        <f t="shared" ref="I10:R10" si="2">SUM(I11)</f>
        <v>110000</v>
      </c>
      <c r="J10" s="5">
        <f t="shared" si="2"/>
        <v>26000</v>
      </c>
      <c r="K10" s="5">
        <f t="shared" si="2"/>
        <v>0</v>
      </c>
      <c r="L10" s="5">
        <f t="shared" si="2"/>
        <v>26000</v>
      </c>
      <c r="M10" s="5">
        <f t="shared" si="2"/>
        <v>0</v>
      </c>
      <c r="N10" s="5">
        <f t="shared" si="2"/>
        <v>0</v>
      </c>
      <c r="O10" s="5">
        <f t="shared" si="2"/>
        <v>0</v>
      </c>
      <c r="P10" s="5">
        <f t="shared" si="2"/>
        <v>0</v>
      </c>
      <c r="Q10" s="5">
        <f t="shared" si="2"/>
        <v>0</v>
      </c>
      <c r="R10" s="5">
        <f t="shared" si="2"/>
        <v>26000</v>
      </c>
      <c r="S10" s="20"/>
      <c r="U10" s="439"/>
      <c r="V10" s="439"/>
    </row>
    <row r="11" spans="1:40" s="100" customFormat="1" ht="44.25" customHeight="1">
      <c r="A11" s="11" t="s">
        <v>16</v>
      </c>
      <c r="B11" s="12" t="s">
        <v>56</v>
      </c>
      <c r="C11" s="12"/>
      <c r="D11" s="11"/>
      <c r="E11" s="12"/>
      <c r="F11" s="12"/>
      <c r="G11" s="12"/>
      <c r="H11" s="21">
        <f t="shared" ref="H11:R11" si="3">SUM(H12:H12)</f>
        <v>139779</v>
      </c>
      <c r="I11" s="21">
        <f t="shared" si="3"/>
        <v>110000</v>
      </c>
      <c r="J11" s="21">
        <f t="shared" si="3"/>
        <v>26000</v>
      </c>
      <c r="K11" s="21">
        <f t="shared" si="3"/>
        <v>0</v>
      </c>
      <c r="L11" s="21">
        <f t="shared" si="3"/>
        <v>26000</v>
      </c>
      <c r="M11" s="21">
        <f t="shared" si="3"/>
        <v>0</v>
      </c>
      <c r="N11" s="21">
        <f t="shared" si="3"/>
        <v>0</v>
      </c>
      <c r="O11" s="21">
        <f t="shared" si="3"/>
        <v>0</v>
      </c>
      <c r="P11" s="21">
        <f t="shared" si="3"/>
        <v>0</v>
      </c>
      <c r="Q11" s="21">
        <f t="shared" si="3"/>
        <v>0</v>
      </c>
      <c r="R11" s="21">
        <f t="shared" si="3"/>
        <v>26000</v>
      </c>
      <c r="S11" s="14"/>
      <c r="U11" s="101"/>
      <c r="V11" s="101"/>
    </row>
    <row r="12" spans="1:40" ht="106.5" customHeight="1">
      <c r="A12" s="7">
        <v>1</v>
      </c>
      <c r="B12" s="103" t="s">
        <v>409</v>
      </c>
      <c r="C12" s="187" t="s">
        <v>90</v>
      </c>
      <c r="D12" s="187" t="s">
        <v>21</v>
      </c>
      <c r="E12" s="167" t="s">
        <v>410</v>
      </c>
      <c r="F12" s="167" t="s">
        <v>403</v>
      </c>
      <c r="G12" s="167" t="s">
        <v>740</v>
      </c>
      <c r="H12" s="168">
        <v>139779</v>
      </c>
      <c r="I12" s="168">
        <v>110000</v>
      </c>
      <c r="J12" s="25">
        <f>SUM(K12:L12)</f>
        <v>26000</v>
      </c>
      <c r="K12" s="58"/>
      <c r="L12" s="58">
        <v>26000</v>
      </c>
      <c r="M12" s="26">
        <f>SUM(N12:Q12)</f>
        <v>0</v>
      </c>
      <c r="N12" s="58"/>
      <c r="O12" s="25"/>
      <c r="P12" s="25"/>
      <c r="Q12" s="25"/>
      <c r="R12" s="26">
        <v>26000</v>
      </c>
      <c r="S12" s="105"/>
      <c r="U12" s="106"/>
      <c r="V12" s="106"/>
      <c r="W12" s="107"/>
    </row>
    <row r="13" spans="1:40" s="13" customFormat="1" ht="60" customHeight="1">
      <c r="A13" s="438" t="s">
        <v>34</v>
      </c>
      <c r="B13" s="19" t="s">
        <v>422</v>
      </c>
      <c r="C13" s="438"/>
      <c r="D13" s="438"/>
      <c r="E13" s="438"/>
      <c r="F13" s="438"/>
      <c r="G13" s="438"/>
      <c r="H13" s="5">
        <v>20000</v>
      </c>
      <c r="I13" s="5">
        <v>20000</v>
      </c>
      <c r="J13" s="5">
        <v>13000</v>
      </c>
      <c r="K13" s="5"/>
      <c r="L13" s="5">
        <v>13000</v>
      </c>
      <c r="M13" s="5"/>
      <c r="N13" s="5"/>
      <c r="O13" s="5"/>
      <c r="P13" s="5"/>
      <c r="Q13" s="5"/>
      <c r="R13" s="199">
        <v>13000</v>
      </c>
      <c r="S13" s="1" t="s">
        <v>650</v>
      </c>
      <c r="U13" s="439"/>
      <c r="V13" s="439"/>
    </row>
    <row r="14" spans="1:40" s="13" customFormat="1" ht="60" customHeight="1">
      <c r="A14" s="438" t="s">
        <v>81</v>
      </c>
      <c r="B14" s="19" t="s">
        <v>423</v>
      </c>
      <c r="C14" s="438"/>
      <c r="D14" s="438"/>
      <c r="E14" s="438"/>
      <c r="F14" s="438"/>
      <c r="G14" s="438"/>
      <c r="H14" s="5">
        <v>30000</v>
      </c>
      <c r="I14" s="5">
        <v>28554</v>
      </c>
      <c r="J14" s="5">
        <v>28554</v>
      </c>
      <c r="K14" s="5"/>
      <c r="L14" s="5">
        <v>28554</v>
      </c>
      <c r="M14" s="5"/>
      <c r="N14" s="5"/>
      <c r="O14" s="5"/>
      <c r="P14" s="5"/>
      <c r="Q14" s="5"/>
      <c r="R14" s="199">
        <v>28554</v>
      </c>
      <c r="S14" s="1" t="s">
        <v>650</v>
      </c>
      <c r="U14" s="439"/>
      <c r="V14" s="439"/>
    </row>
    <row r="15" spans="1:40" s="13" customFormat="1" ht="70.5" customHeight="1">
      <c r="A15" s="438" t="s">
        <v>194</v>
      </c>
      <c r="B15" s="19" t="s">
        <v>886</v>
      </c>
      <c r="C15" s="438"/>
      <c r="D15" s="438"/>
      <c r="E15" s="438"/>
      <c r="F15" s="438"/>
      <c r="G15" s="438"/>
      <c r="H15" s="5">
        <f>SUM(H16)</f>
        <v>18735</v>
      </c>
      <c r="I15" s="5">
        <f t="shared" ref="I15:R17" si="4">SUM(I16)</f>
        <v>10000</v>
      </c>
      <c r="J15" s="5">
        <f t="shared" si="4"/>
        <v>10000</v>
      </c>
      <c r="K15" s="5">
        <f t="shared" si="4"/>
        <v>0</v>
      </c>
      <c r="L15" s="5">
        <f t="shared" si="4"/>
        <v>10000</v>
      </c>
      <c r="M15" s="5">
        <f t="shared" si="4"/>
        <v>5000</v>
      </c>
      <c r="N15" s="5">
        <f t="shared" si="4"/>
        <v>0</v>
      </c>
      <c r="O15" s="5">
        <f t="shared" si="4"/>
        <v>0</v>
      </c>
      <c r="P15" s="5">
        <f t="shared" si="4"/>
        <v>0</v>
      </c>
      <c r="Q15" s="5">
        <f t="shared" si="4"/>
        <v>5000</v>
      </c>
      <c r="R15" s="5">
        <f t="shared" si="4"/>
        <v>5000</v>
      </c>
      <c r="S15" s="20"/>
      <c r="U15" s="439"/>
      <c r="V15" s="439"/>
    </row>
    <row r="16" spans="1:40" s="13" customFormat="1" ht="60" customHeight="1">
      <c r="A16" s="438" t="s">
        <v>197</v>
      </c>
      <c r="B16" s="19" t="s">
        <v>15</v>
      </c>
      <c r="C16" s="438"/>
      <c r="D16" s="438"/>
      <c r="E16" s="438"/>
      <c r="F16" s="438"/>
      <c r="G16" s="438"/>
      <c r="H16" s="5">
        <f>SUM(H17)</f>
        <v>18735</v>
      </c>
      <c r="I16" s="5">
        <f t="shared" si="4"/>
        <v>10000</v>
      </c>
      <c r="J16" s="5">
        <f t="shared" si="4"/>
        <v>10000</v>
      </c>
      <c r="K16" s="5">
        <f t="shared" si="4"/>
        <v>0</v>
      </c>
      <c r="L16" s="5">
        <f t="shared" si="4"/>
        <v>10000</v>
      </c>
      <c r="M16" s="5">
        <f t="shared" si="4"/>
        <v>5000</v>
      </c>
      <c r="N16" s="5">
        <f t="shared" si="4"/>
        <v>0</v>
      </c>
      <c r="O16" s="5">
        <f t="shared" si="4"/>
        <v>0</v>
      </c>
      <c r="P16" s="5">
        <f t="shared" si="4"/>
        <v>0</v>
      </c>
      <c r="Q16" s="5">
        <f t="shared" si="4"/>
        <v>5000</v>
      </c>
      <c r="R16" s="5">
        <f t="shared" si="4"/>
        <v>5000</v>
      </c>
      <c r="S16" s="20"/>
      <c r="U16" s="439"/>
      <c r="V16" s="439"/>
    </row>
    <row r="17" spans="1:23" s="100" customFormat="1" ht="44.25" customHeight="1">
      <c r="A17" s="11" t="s">
        <v>16</v>
      </c>
      <c r="B17" s="12" t="s">
        <v>56</v>
      </c>
      <c r="C17" s="12"/>
      <c r="D17" s="11"/>
      <c r="E17" s="12"/>
      <c r="F17" s="12"/>
      <c r="G17" s="12"/>
      <c r="H17" s="21">
        <f>SUM(H18)</f>
        <v>18735</v>
      </c>
      <c r="I17" s="21">
        <f t="shared" si="4"/>
        <v>10000</v>
      </c>
      <c r="J17" s="21">
        <f t="shared" si="4"/>
        <v>10000</v>
      </c>
      <c r="K17" s="21">
        <f t="shared" si="4"/>
        <v>0</v>
      </c>
      <c r="L17" s="21">
        <f t="shared" si="4"/>
        <v>10000</v>
      </c>
      <c r="M17" s="21">
        <f t="shared" si="4"/>
        <v>5000</v>
      </c>
      <c r="N17" s="21">
        <f t="shared" si="4"/>
        <v>0</v>
      </c>
      <c r="O17" s="21">
        <f t="shared" si="4"/>
        <v>0</v>
      </c>
      <c r="P17" s="21">
        <f t="shared" si="4"/>
        <v>0</v>
      </c>
      <c r="Q17" s="21">
        <f t="shared" si="4"/>
        <v>5000</v>
      </c>
      <c r="R17" s="21">
        <f t="shared" si="4"/>
        <v>5000</v>
      </c>
      <c r="S17" s="14"/>
      <c r="U17" s="101"/>
      <c r="V17" s="101"/>
    </row>
    <row r="18" spans="1:23" ht="106.5" customHeight="1">
      <c r="A18" s="7">
        <v>1</v>
      </c>
      <c r="B18" s="103" t="s">
        <v>421</v>
      </c>
      <c r="C18" s="187" t="s">
        <v>221</v>
      </c>
      <c r="D18" s="187" t="s">
        <v>21</v>
      </c>
      <c r="E18" s="167" t="s">
        <v>746</v>
      </c>
      <c r="F18" s="167" t="s">
        <v>563</v>
      </c>
      <c r="G18" s="67" t="s">
        <v>687</v>
      </c>
      <c r="H18" s="26">
        <v>18735</v>
      </c>
      <c r="I18" s="26">
        <v>10000</v>
      </c>
      <c r="J18" s="25">
        <f>SUM(K18:L18)</f>
        <v>10000</v>
      </c>
      <c r="K18" s="58"/>
      <c r="L18" s="58">
        <v>10000</v>
      </c>
      <c r="M18" s="26">
        <f>SUM(N18:Q18)</f>
        <v>5000</v>
      </c>
      <c r="N18" s="58"/>
      <c r="O18" s="25"/>
      <c r="P18" s="25"/>
      <c r="Q18" s="25">
        <v>5000</v>
      </c>
      <c r="R18" s="26">
        <v>5000</v>
      </c>
      <c r="S18" s="105"/>
      <c r="U18" s="106"/>
      <c r="V18" s="106"/>
      <c r="W18" s="107"/>
    </row>
  </sheetData>
  <mergeCells count="19">
    <mergeCell ref="N7:Q7"/>
    <mergeCell ref="R6:R8"/>
    <mergeCell ref="J6:L8"/>
    <mergeCell ref="A1:S1"/>
    <mergeCell ref="A2:S2"/>
    <mergeCell ref="A4:S4"/>
    <mergeCell ref="M7:M8"/>
    <mergeCell ref="A6:A8"/>
    <mergeCell ref="B6:B8"/>
    <mergeCell ref="C6:C8"/>
    <mergeCell ref="D6:D8"/>
    <mergeCell ref="E6:E8"/>
    <mergeCell ref="F6:F8"/>
    <mergeCell ref="G6:I6"/>
    <mergeCell ref="S6:S8"/>
    <mergeCell ref="G7:G8"/>
    <mergeCell ref="H7:I7"/>
    <mergeCell ref="A3:S3"/>
    <mergeCell ref="M6:Q6"/>
  </mergeCells>
  <printOptions horizontalCentered="1"/>
  <pageMargins left="0.39370078740157499" right="0.39370078740157499" top="0.39370078740157499" bottom="0.39370078740157499" header="0.196850393700787" footer="0.196850393700787"/>
  <pageSetup paperSize="9" scale="46" fitToHeight="0" orientation="landscape" r:id="rId1"/>
  <headerFooter alignWithMargins="0">
    <oddFooter>&amp;C&amp;"Times New Roman,thường"&amp;11&amp;P/&amp;N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38</vt:i4>
      </vt:variant>
    </vt:vector>
  </HeadingPairs>
  <TitlesOfParts>
    <vt:vector size="57" baseType="lpstr">
      <vt:lpstr>TH</vt:lpstr>
      <vt:lpstr>1. CĐNS</vt:lpstr>
      <vt:lpstr>2. SDĐ</vt:lpstr>
      <vt:lpstr>3. XSKT</vt:lpstr>
      <vt:lpstr>4. ĐƯCTMTQG</vt:lpstr>
      <vt:lpstr>5. ĐPTTH</vt:lpstr>
      <vt:lpstr>6. XSKT CNT</vt:lpstr>
      <vt:lpstr>7. Boi chi</vt:lpstr>
      <vt:lpstr>8.VTXSKT</vt:lpstr>
      <vt:lpstr>9. KDXSKT2022</vt:lpstr>
      <vt:lpstr>10. VTXSKT2022</vt:lpstr>
      <vt:lpstr>11. Muon ĐPTTH</vt:lpstr>
      <vt:lpstr>12. NHNN</vt:lpstr>
      <vt:lpstr>13. VTPCP</vt:lpstr>
      <vt:lpstr>14. KDSDĐ</vt:lpstr>
      <vt:lpstr>15. DPNS 2024</vt:lpstr>
      <vt:lpstr>16. DA ĐB</vt:lpstr>
      <vt:lpstr>17. KCM chua giao</vt:lpstr>
      <vt:lpstr>14. DP TH</vt:lpstr>
      <vt:lpstr>'1. CĐNS'!Print_Area</vt:lpstr>
      <vt:lpstr>'10. VTXSKT2022'!Print_Area</vt:lpstr>
      <vt:lpstr>'11. Muon ĐPTTH'!Print_Area</vt:lpstr>
      <vt:lpstr>'12. NHNN'!Print_Area</vt:lpstr>
      <vt:lpstr>'13. VTPCP'!Print_Area</vt:lpstr>
      <vt:lpstr>'14. DP TH'!Print_Area</vt:lpstr>
      <vt:lpstr>'14. KDSDĐ'!Print_Area</vt:lpstr>
      <vt:lpstr>'15. DPNS 2024'!Print_Area</vt:lpstr>
      <vt:lpstr>'16. DA ĐB'!Print_Area</vt:lpstr>
      <vt:lpstr>'17. KCM chua giao'!Print_Area</vt:lpstr>
      <vt:lpstr>'2. SDĐ'!Print_Area</vt:lpstr>
      <vt:lpstr>'3. XSKT'!Print_Area</vt:lpstr>
      <vt:lpstr>'4. ĐƯCTMTQG'!Print_Area</vt:lpstr>
      <vt:lpstr>'5. ĐPTTH'!Print_Area</vt:lpstr>
      <vt:lpstr>'6. XSKT CNT'!Print_Area</vt:lpstr>
      <vt:lpstr>'7. Boi chi'!Print_Area</vt:lpstr>
      <vt:lpstr>'8.VTXSKT'!Print_Area</vt:lpstr>
      <vt:lpstr>'9. KDXSKT2022'!Print_Area</vt:lpstr>
      <vt:lpstr>TH!Print_Area</vt:lpstr>
      <vt:lpstr>'1. CĐNS'!Print_Titles</vt:lpstr>
      <vt:lpstr>'10. VTXSKT2022'!Print_Titles</vt:lpstr>
      <vt:lpstr>'11. Muon ĐPTTH'!Print_Titles</vt:lpstr>
      <vt:lpstr>'12. NHNN'!Print_Titles</vt:lpstr>
      <vt:lpstr>'13. VTPCP'!Print_Titles</vt:lpstr>
      <vt:lpstr>'14. DP TH'!Print_Titles</vt:lpstr>
      <vt:lpstr>'14. KDSDĐ'!Print_Titles</vt:lpstr>
      <vt:lpstr>'15. DPNS 2024'!Print_Titles</vt:lpstr>
      <vt:lpstr>'16. DA ĐB'!Print_Titles</vt:lpstr>
      <vt:lpstr>'17. KCM chua giao'!Print_Titles</vt:lpstr>
      <vt:lpstr>'2. SDĐ'!Print_Titles</vt:lpstr>
      <vt:lpstr>'3. XSKT'!Print_Titles</vt:lpstr>
      <vt:lpstr>'4. ĐƯCTMTQG'!Print_Titles</vt:lpstr>
      <vt:lpstr>'5. ĐPTTH'!Print_Titles</vt:lpstr>
      <vt:lpstr>'6. XSKT CNT'!Print_Titles</vt:lpstr>
      <vt:lpstr>'7. Boi chi'!Print_Titles</vt:lpstr>
      <vt:lpstr>'8.VTXSKT'!Print_Titles</vt:lpstr>
      <vt:lpstr>'9. KDXSKT2022'!Print_Titles</vt:lpstr>
      <vt:lpstr>TH!Print_Titles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th5</dc:creator>
  <cp:lastModifiedBy>HP</cp:lastModifiedBy>
  <cp:lastPrinted>2024-12-18T07:00:59Z</cp:lastPrinted>
  <dcterms:created xsi:type="dcterms:W3CDTF">2021-11-09T09:29:34Z</dcterms:created>
  <dcterms:modified xsi:type="dcterms:W3CDTF">2024-12-22T08:01:21Z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a78cdf1598c44845aa036064d68691d6.psdsxs" Id="Rb4980004ce054fe8" /></Relationships>
</file>